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17" sheetId="6" r:id="rId6"/>
    <sheet name="грудень" sheetId="7" r:id="rId7"/>
    <sheet name="лютий (весь бюдж розв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<sst xmlns="http://schemas.openxmlformats.org/spreadsheetml/2006/main" count="1207" uniqueCount="226">
  <si>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</si>
  <si>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</si>
  <si>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</si>
  <si>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</si>
  <si>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</si>
  <si>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</si>
  <si>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</si>
  <si>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</si>
  <si>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</si>
  <si>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</si>
  <si>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</si>
  <si>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</si>
  <si>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</si>
  <si>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</si>
  <si>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</si>
  <si>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</si>
  <si>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</si>
  <si>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</si>
  <si>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</si>
  <si>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</si>
  <si>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</si>
  <si>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</si>
  <si>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</si>
  <si>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</si>
  <si>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</si>
  <si>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</si>
  <si>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</si>
  <si>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</si>
  <si>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</si>
  <si>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</si>
  <si>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</si>
  <si>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</si>
  <si>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</si>
  <si>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</si>
  <si>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</si>
  <si>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</si>
  <si>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</si>
  <si>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</si>
  <si>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</si>
  <si>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</si>
  <si>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</si>
  <si>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</si>
  <si>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</si>
  <si>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</si>
  <si>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</si>
  <si>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</si>
  <si>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</si>
  <si>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</si>
  <si>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</si>
  <si>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</si>
  <si>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</si>
  <si>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</si>
  <si>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</si>
  <si>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</si>
  <si>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</si>
  <si>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</si>
  <si>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</si>
  <si>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</si>
  <si>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</si>
  <si>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</si>
  <si>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</si>
  <si>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</si>
  <si>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</si>
  <si>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</si>
  <si>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</si>
  <si>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</si>
  <si>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</si>
  <si>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</si>
  <si>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</si>
  <si>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</si>
  <si>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</si>
  <si>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</si>
  <si>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</si>
  <si>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</si>
  <si>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</si>
  <si>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</si>
  <si>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</si>
  <si>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</si>
  <si>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</si>
  <si>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</si>
  <si>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</si>
  <si>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</si>
  <si>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</si>
  <si>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</si>
  <si>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</si>
  <si>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</si>
  <si>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</si>
  <si>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</si>
  <si>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</si>
  <si>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</si>
  <si>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</si>
  <si>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</si>
  <si>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</si>
  <si>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</si>
  <si>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</si>
  <si>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</si>
  <si>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</si>
  <si>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</si>
  <si>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</si>
  <si>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</si>
  <si>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</si>
  <si>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</si>
  <si>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</si>
  <si>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</si>
  <si>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</si>
  <si>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</si>
  <si>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</si>
  <si>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</si>
  <si>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</si>
  <si>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</si>
  <si>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</si>
  <si>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</si>
  <si>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</si>
  <si>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</si>
  <si>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</si>
  <si>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</si>
  <si>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</si>
  <si>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</si>
  <si>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</si>
  <si>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</si>
  <si>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</si>
  <si>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</si>
  <si>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</si>
  <si>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</si>
  <si>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</si>
  <si>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</si>
  <si>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</si>
  <si>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</si>
  <si>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</si>
  <si>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</si>
  <si>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</si>
  <si>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</si>
  <si>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</si>
  <si>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</si>
  <si>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</si>
  <si>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</si>
  <si>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</si>
  <si>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</si>
  <si>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</si>
  <si>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</si>
  <si>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</si>
  <si>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</si>
  <si>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</si>
  <si>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</si>
  <si>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</si>
  <si>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</si>
  <si>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</si>
  <si>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</si>
  <si>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</si>
  <si>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</si>
  <si>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</si>
  <si>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</si>
  <si>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</si>
  <si>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</si>
  <si>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</si>
  <si>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</si>
  <si>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</si>
  <si>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</si>
  <si>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</si>
  <si>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</si>
  <si>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</si>
  <si>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</si>
  <si>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</si>
  <si>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</si>
  <si>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</si>
  <si>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</si>
  <si>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</si>
  <si>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</si>
  <si>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</si>
  <si>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</si>
  <si>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</si>
  <si>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</si>
  <si>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</si>
  <si>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</si>
  <si>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</si>
  <si>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</si>
  <si>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</si>
  <si>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</si>
  <si>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</si>
  <si>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</si>
  <si>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</si>
  <si>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</si>
  <si>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</si>
  <si>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</si>
  <si>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</si>
  <si>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</si>
  <si>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</si>
  <si>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</si>
  <si>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</si>
  <si>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</si>
  <si>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</si>
  <si>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</si>
  <si>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</si>
  <si>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</si>
  <si>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</si>
  <si>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</si>
  <si>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</si>
  <si>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</si>
  <si>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</si>
  <si>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</si>
  <si>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</si>
  <si>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</si>
  <si>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</si>
  <si>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</si>
  <si>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</si>
  <si>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</si>
  <si>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</si>
  <si>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</si>
  <si>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</si>
  <si>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</si>
  <si>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</si>
  <si>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</si>
  <si>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</si>
  <si>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</si>
  <si>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</si>
  <si>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</si>
  <si>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</si>
  <si>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</si>
  <si>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</si>
  <si>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</si>
  <si>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</si>
  <si>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</si>
  <si>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</si>
  <si>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</si>
  <si>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</si>
  <si>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29.06.17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</si>
</sst>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2" fontId="82" fillId="39" borderId="10" xfId="0" applyNumberFormat="1" applyFont="1" applyFill="1" applyBorder="1" applyAlignment="1">
      <alignment/>
    </xf>
    <xf numFmtId="191" fontId="3" fillId="0" borderId="0" xfId="55" applyNumberFormat="1" applyFont="1" applyProtection="1">
      <alignment/>
      <protection/>
    </xf>
    <xf numFmtId="182" fontId="82" fillId="39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 applyProtection="1">
      <alignment/>
      <protection/>
    </xf>
    <xf numFmtId="0" fontId="3" fillId="0" borderId="10" xfId="55" applyFont="1" applyBorder="1" applyProtection="1">
      <alignment/>
      <protection/>
    </xf>
    <xf numFmtId="182" fontId="39" fillId="0" borderId="10" xfId="0" applyNumberFormat="1" applyFont="1" applyBorder="1" applyAlignment="1">
      <alignment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4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3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5" fillId="0" borderId="0" xfId="0" applyNumberFormat="1" applyFont="1" applyAlignment="1" applyProtection="1">
      <alignment/>
      <protection/>
    </xf>
    <xf numFmtId="4" fontId="85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41" borderId="10" xfId="55" applyFont="1" applyFill="1" applyBorder="1" applyProtection="1">
      <alignment/>
      <protection/>
    </xf>
    <xf numFmtId="192" fontId="82" fillId="41" borderId="10" xfId="0" applyNumberFormat="1" applyFont="1" applyFill="1" applyBorder="1" applyAlignment="1">
      <alignment/>
    </xf>
    <xf numFmtId="182" fontId="82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3" fillId="0" borderId="0" xfId="55" applyFont="1" applyAlignment="1" applyProtection="1">
      <alignment horizontal="center"/>
      <protection/>
    </xf>
    <xf numFmtId="0" fontId="83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3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3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лишки  (3)"/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2734.9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8" sqref="E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8" t="s">
        <v>224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86"/>
      <c r="S1" s="86"/>
    </row>
    <row r="2" spans="2:19" s="1" customFormat="1" ht="15.75" customHeight="1">
      <c r="B2" s="329"/>
      <c r="C2" s="329"/>
      <c r="D2" s="329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0"/>
      <c r="B3" s="332"/>
      <c r="C3" s="333" t="s">
        <v>0</v>
      </c>
      <c r="D3" s="334" t="s">
        <v>151</v>
      </c>
      <c r="E3" s="32"/>
      <c r="F3" s="335" t="s">
        <v>26</v>
      </c>
      <c r="G3" s="336"/>
      <c r="H3" s="336"/>
      <c r="I3" s="336"/>
      <c r="J3" s="337"/>
      <c r="K3" s="83"/>
      <c r="L3" s="83"/>
      <c r="M3" s="83"/>
      <c r="N3" s="338" t="s">
        <v>220</v>
      </c>
      <c r="O3" s="316" t="s">
        <v>221</v>
      </c>
      <c r="P3" s="316"/>
      <c r="Q3" s="316"/>
      <c r="R3" s="316"/>
      <c r="S3" s="316"/>
    </row>
    <row r="4" spans="1:19" ht="22.5" customHeight="1">
      <c r="A4" s="330"/>
      <c r="B4" s="332"/>
      <c r="C4" s="333"/>
      <c r="D4" s="334"/>
      <c r="E4" s="324" t="s">
        <v>217</v>
      </c>
      <c r="F4" s="310" t="s">
        <v>33</v>
      </c>
      <c r="G4" s="312" t="s">
        <v>218</v>
      </c>
      <c r="H4" s="314" t="s">
        <v>219</v>
      </c>
      <c r="I4" s="312" t="s">
        <v>138</v>
      </c>
      <c r="J4" s="314" t="s">
        <v>139</v>
      </c>
      <c r="K4" s="85" t="s">
        <v>141</v>
      </c>
      <c r="L4" s="204" t="s">
        <v>113</v>
      </c>
      <c r="M4" s="90" t="s">
        <v>63</v>
      </c>
      <c r="N4" s="314"/>
      <c r="O4" s="326" t="s">
        <v>225</v>
      </c>
      <c r="P4" s="312" t="s">
        <v>49</v>
      </c>
      <c r="Q4" s="317" t="s">
        <v>48</v>
      </c>
      <c r="R4" s="91" t="s">
        <v>64</v>
      </c>
      <c r="S4" s="91"/>
    </row>
    <row r="5" spans="1:19" ht="67.5" customHeight="1">
      <c r="A5" s="331"/>
      <c r="B5" s="332"/>
      <c r="C5" s="333"/>
      <c r="D5" s="334"/>
      <c r="E5" s="325"/>
      <c r="F5" s="311"/>
      <c r="G5" s="313"/>
      <c r="H5" s="315"/>
      <c r="I5" s="313"/>
      <c r="J5" s="315"/>
      <c r="K5" s="318" t="s">
        <v>222</v>
      </c>
      <c r="L5" s="319"/>
      <c r="M5" s="320"/>
      <c r="N5" s="315"/>
      <c r="O5" s="327"/>
      <c r="P5" s="313"/>
      <c r="Q5" s="317"/>
      <c r="R5" s="321" t="s">
        <v>223</v>
      </c>
      <c r="S5" s="32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594696.09</v>
      </c>
      <c r="G8" s="151">
        <f aca="true" t="shared" si="0" ref="G8:G40">F8-E8</f>
        <v>-14179.51000000001</v>
      </c>
      <c r="H8" s="152">
        <f>F8/E8*100</f>
        <v>97.67119753197532</v>
      </c>
      <c r="I8" s="153">
        <f>F8-D8</f>
        <v>-703755.0100000001</v>
      </c>
      <c r="J8" s="153">
        <f>F8/D8*100</f>
        <v>45.80042251879951</v>
      </c>
      <c r="K8" s="151">
        <v>465511.42</v>
      </c>
      <c r="L8" s="151">
        <f aca="true" t="shared" si="1" ref="L8:L54">F8-K8</f>
        <v>129184.66999999998</v>
      </c>
      <c r="M8" s="205">
        <f aca="true" t="shared" si="2" ref="M8:M31">F8/K8</f>
        <v>1.2775112799595765</v>
      </c>
      <c r="N8" s="151">
        <f>N9+N15+N18+N19+N23+N17</f>
        <v>104172</v>
      </c>
      <c r="O8" s="151">
        <f>O9+O15+O18+O19+O23+O17</f>
        <v>89600.12999999998</v>
      </c>
      <c r="P8" s="151">
        <f>O8-N8</f>
        <v>-14571.870000000024</v>
      </c>
      <c r="Q8" s="151">
        <f>O8/N8*100</f>
        <v>86.01172099988477</v>
      </c>
      <c r="R8" s="15">
        <f>R9+R15+R18+R19+R23</f>
        <v>102514</v>
      </c>
      <c r="S8" s="15">
        <f>O8-R8</f>
        <v>-12913.870000000024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341940.6</v>
      </c>
      <c r="G9" s="150">
        <f t="shared" si="0"/>
        <v>-7299.400000000023</v>
      </c>
      <c r="H9" s="157">
        <f>F9/E9*100</f>
        <v>97.90991868056351</v>
      </c>
      <c r="I9" s="158">
        <f>F9-D9</f>
        <v>-424704.4</v>
      </c>
      <c r="J9" s="158">
        <f>F9/D9*100</f>
        <v>44.602208323278695</v>
      </c>
      <c r="K9" s="227">
        <v>261442.54</v>
      </c>
      <c r="L9" s="159">
        <f t="shared" si="1"/>
        <v>80498.05999999997</v>
      </c>
      <c r="M9" s="206">
        <f t="shared" si="2"/>
        <v>1.307899624904195</v>
      </c>
      <c r="N9" s="157">
        <f>E9-травень!E9</f>
        <v>70400</v>
      </c>
      <c r="O9" s="160">
        <f>F9-травень!F9</f>
        <v>60309.01999999996</v>
      </c>
      <c r="P9" s="161">
        <f>O9-N9</f>
        <v>-10090.98000000004</v>
      </c>
      <c r="Q9" s="158">
        <f>O9/N9*100</f>
        <v>85.66622159090903</v>
      </c>
      <c r="R9" s="100">
        <v>71000</v>
      </c>
      <c r="S9" s="100">
        <f>O9-R9</f>
        <v>-10690.98000000004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307687.99</v>
      </c>
      <c r="G10" s="103">
        <f t="shared" si="0"/>
        <v>-10376.01000000001</v>
      </c>
      <c r="H10" s="30">
        <f aca="true" t="shared" si="3" ref="H10:H39">F10/E10*100</f>
        <v>96.73776032496603</v>
      </c>
      <c r="I10" s="104">
        <f aca="true" t="shared" si="4" ref="I10:I40">F10-D10</f>
        <v>-393629.01</v>
      </c>
      <c r="J10" s="104">
        <f aca="true" t="shared" si="5" ref="J10:J39">F10/D10*100</f>
        <v>43.87288344643007</v>
      </c>
      <c r="K10" s="106">
        <v>231268.41</v>
      </c>
      <c r="L10" s="106">
        <f t="shared" si="1"/>
        <v>76419.57999999999</v>
      </c>
      <c r="M10" s="207">
        <f t="shared" si="2"/>
        <v>1.3304367423116714</v>
      </c>
      <c r="N10" s="105">
        <f>E10-травень!E10</f>
        <v>64904</v>
      </c>
      <c r="O10" s="144">
        <f>F10-травень!F10</f>
        <v>50108.81</v>
      </c>
      <c r="P10" s="106">
        <f aca="true" t="shared" si="6" ref="P10:P40">O10-N10</f>
        <v>-14795.190000000002</v>
      </c>
      <c r="Q10" s="104">
        <f aca="true" t="shared" si="7" ref="Q10:Q27">O10/N10*100</f>
        <v>77.20450203377295</v>
      </c>
      <c r="R10" s="37"/>
      <c r="S10" s="100">
        <f aca="true" t="shared" si="8" ref="S10:S35">O10-R10</f>
        <v>50108.81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17610.75</v>
      </c>
      <c r="G11" s="103">
        <f t="shared" si="0"/>
        <v>-4589.25</v>
      </c>
      <c r="H11" s="30">
        <f t="shared" si="3"/>
        <v>79.32770270270271</v>
      </c>
      <c r="I11" s="104">
        <f t="shared" si="4"/>
        <v>-28895.25</v>
      </c>
      <c r="J11" s="104">
        <f t="shared" si="5"/>
        <v>37.86769449103342</v>
      </c>
      <c r="K11" s="106">
        <v>18032.25</v>
      </c>
      <c r="L11" s="106">
        <f t="shared" si="1"/>
        <v>-421.5</v>
      </c>
      <c r="M11" s="207">
        <f t="shared" si="2"/>
        <v>0.9766252131597555</v>
      </c>
      <c r="N11" s="105">
        <f>E11-травень!E11</f>
        <v>3840</v>
      </c>
      <c r="O11" s="144">
        <f>F11-травень!F11</f>
        <v>1790.8500000000004</v>
      </c>
      <c r="P11" s="106">
        <f t="shared" si="6"/>
        <v>-2049.1499999999996</v>
      </c>
      <c r="Q11" s="104">
        <f t="shared" si="7"/>
        <v>46.636718750000014</v>
      </c>
      <c r="R11" s="37"/>
      <c r="S11" s="100">
        <f t="shared" si="8"/>
        <v>1790.8500000000004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4442.69</v>
      </c>
      <c r="G12" s="103">
        <f t="shared" si="0"/>
        <v>602.6899999999996</v>
      </c>
      <c r="H12" s="30">
        <f t="shared" si="3"/>
        <v>115.69505208333332</v>
      </c>
      <c r="I12" s="104">
        <f t="shared" si="4"/>
        <v>-3837.3100000000004</v>
      </c>
      <c r="J12" s="104">
        <f t="shared" si="5"/>
        <v>53.65567632850241</v>
      </c>
      <c r="K12" s="106">
        <v>5288.66</v>
      </c>
      <c r="L12" s="106">
        <f t="shared" si="1"/>
        <v>-845.9700000000003</v>
      </c>
      <c r="M12" s="207">
        <f t="shared" si="2"/>
        <v>0.8400407664701455</v>
      </c>
      <c r="N12" s="105">
        <f>E12-травень!E12</f>
        <v>900</v>
      </c>
      <c r="O12" s="144">
        <f>F12-травень!F12</f>
        <v>700.4299999999994</v>
      </c>
      <c r="P12" s="106">
        <f t="shared" si="6"/>
        <v>-199.57000000000062</v>
      </c>
      <c r="Q12" s="104">
        <f t="shared" si="7"/>
        <v>77.8255555555555</v>
      </c>
      <c r="R12" s="37"/>
      <c r="S12" s="100">
        <f t="shared" si="8"/>
        <v>700.4299999999994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4445.94</v>
      </c>
      <c r="G13" s="103">
        <f t="shared" si="0"/>
        <v>-114.0600000000004</v>
      </c>
      <c r="H13" s="30">
        <f t="shared" si="3"/>
        <v>97.4986842105263</v>
      </c>
      <c r="I13" s="104">
        <f t="shared" si="4"/>
        <v>-4944.06</v>
      </c>
      <c r="J13" s="104">
        <f t="shared" si="5"/>
        <v>47.34760383386581</v>
      </c>
      <c r="K13" s="106">
        <v>4452.61</v>
      </c>
      <c r="L13" s="106">
        <f t="shared" si="1"/>
        <v>-6.670000000000073</v>
      </c>
      <c r="M13" s="207">
        <f t="shared" si="2"/>
        <v>0.9985020021964646</v>
      </c>
      <c r="N13" s="105">
        <f>E13-травень!E13</f>
        <v>660</v>
      </c>
      <c r="O13" s="144">
        <f>F13-травень!F13</f>
        <v>563.3499999999995</v>
      </c>
      <c r="P13" s="106">
        <f t="shared" si="6"/>
        <v>-96.65000000000055</v>
      </c>
      <c r="Q13" s="104">
        <f t="shared" si="7"/>
        <v>85.35606060606052</v>
      </c>
      <c r="R13" s="37"/>
      <c r="S13" s="100">
        <f t="shared" si="8"/>
        <v>563.3499999999995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 t="shared" si="0"/>
        <v>131.52999999999997</v>
      </c>
      <c r="H14" s="30">
        <f t="shared" si="3"/>
        <v>122.83506944444444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E14-травень!E14</f>
        <v>96</v>
      </c>
      <c r="O14" s="144">
        <f>F14-травень!F14</f>
        <v>99.88</v>
      </c>
      <c r="P14" s="106">
        <f t="shared" si="6"/>
        <v>3.8799999999999955</v>
      </c>
      <c r="Q14" s="104">
        <f t="shared" si="7"/>
        <v>104.04166666666666</v>
      </c>
      <c r="R14" s="37"/>
      <c r="S14" s="100">
        <f t="shared" si="8"/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180</v>
      </c>
      <c r="C19" s="43"/>
      <c r="D19" s="150">
        <f>D20+D21+D22</f>
        <v>130000</v>
      </c>
      <c r="E19" s="150">
        <v>59600</v>
      </c>
      <c r="F19" s="156">
        <f>F20+F21+F22</f>
        <v>52857.1</v>
      </c>
      <c r="G19" s="162">
        <f t="shared" si="0"/>
        <v>-6742.9000000000015</v>
      </c>
      <c r="H19" s="164">
        <f t="shared" si="3"/>
        <v>88.68640939597316</v>
      </c>
      <c r="I19" s="165">
        <f t="shared" si="4"/>
        <v>-77142.9</v>
      </c>
      <c r="J19" s="165">
        <f t="shared" si="5"/>
        <v>40.65930769230769</v>
      </c>
      <c r="K19" s="161">
        <v>44512.02</v>
      </c>
      <c r="L19" s="167">
        <f t="shared" si="1"/>
        <v>8345.080000000002</v>
      </c>
      <c r="M19" s="213">
        <f t="shared" si="2"/>
        <v>1.1874792471786273</v>
      </c>
      <c r="N19" s="164">
        <f>E19-травень!E19</f>
        <v>11200</v>
      </c>
      <c r="O19" s="168">
        <f>F19-травень!F19</f>
        <v>7862.010000000002</v>
      </c>
      <c r="P19" s="167">
        <f t="shared" si="6"/>
        <v>-3337.989999999998</v>
      </c>
      <c r="Q19" s="165">
        <f t="shared" si="7"/>
        <v>70.19651785714287</v>
      </c>
      <c r="R19" s="299">
        <v>8800</v>
      </c>
      <c r="S19" s="100">
        <f t="shared" si="8"/>
        <v>-937.989999999998</v>
      </c>
    </row>
    <row r="20" spans="1:19" s="6" customFormat="1" ht="61.5">
      <c r="A20" s="8"/>
      <c r="B20" s="257" t="s">
        <v>213</v>
      </c>
      <c r="C20" s="123">
        <v>14040000</v>
      </c>
      <c r="D20" s="258">
        <v>76500</v>
      </c>
      <c r="E20" s="258">
        <v>35900</v>
      </c>
      <c r="F20" s="201">
        <v>30493.3</v>
      </c>
      <c r="G20" s="258">
        <f t="shared" si="0"/>
        <v>-5406.700000000001</v>
      </c>
      <c r="H20" s="195">
        <f t="shared" si="3"/>
        <v>84.93955431754875</v>
      </c>
      <c r="I20" s="259">
        <f t="shared" si="4"/>
        <v>-46006.7</v>
      </c>
      <c r="J20" s="259">
        <f t="shared" si="5"/>
        <v>39.860522875817</v>
      </c>
      <c r="K20" s="260">
        <v>44512.02</v>
      </c>
      <c r="L20" s="166">
        <f t="shared" si="1"/>
        <v>-14018.719999999998</v>
      </c>
      <c r="M20" s="261">
        <f t="shared" si="2"/>
        <v>0.6850576540898391</v>
      </c>
      <c r="N20" s="195">
        <f>E20-травень!E20</f>
        <v>6250</v>
      </c>
      <c r="O20" s="179">
        <f>F20-травень!F20</f>
        <v>4364.809999999998</v>
      </c>
      <c r="P20" s="166">
        <f t="shared" si="6"/>
        <v>-1885.1900000000023</v>
      </c>
      <c r="Q20" s="259">
        <f t="shared" si="7"/>
        <v>69.83695999999996</v>
      </c>
      <c r="R20" s="104">
        <v>4450</v>
      </c>
      <c r="S20" s="104">
        <f t="shared" si="8"/>
        <v>-85.19000000000233</v>
      </c>
    </row>
    <row r="21" spans="1:19" s="6" customFormat="1" ht="18">
      <c r="A21" s="8"/>
      <c r="B21" s="257" t="s">
        <v>178</v>
      </c>
      <c r="C21" s="123">
        <v>14021900</v>
      </c>
      <c r="D21" s="258">
        <v>10700</v>
      </c>
      <c r="E21" s="258">
        <v>4900</v>
      </c>
      <c r="F21" s="201">
        <v>4550.9</v>
      </c>
      <c r="G21" s="258">
        <f t="shared" si="0"/>
        <v>-349.10000000000036</v>
      </c>
      <c r="H21" s="195"/>
      <c r="I21" s="259">
        <f t="shared" si="4"/>
        <v>-6149.1</v>
      </c>
      <c r="J21" s="259">
        <f t="shared" si="5"/>
        <v>42.531775700934574</v>
      </c>
      <c r="K21" s="260">
        <v>0</v>
      </c>
      <c r="L21" s="166">
        <f t="shared" si="1"/>
        <v>4550.9</v>
      </c>
      <c r="M21" s="261"/>
      <c r="N21" s="195">
        <f>E21-травень!E21</f>
        <v>950</v>
      </c>
      <c r="O21" s="179">
        <f>F21-травень!F21</f>
        <v>457.2099999999996</v>
      </c>
      <c r="P21" s="166">
        <f t="shared" si="6"/>
        <v>-492.7900000000004</v>
      </c>
      <c r="Q21" s="259"/>
      <c r="R21" s="104">
        <v>900</v>
      </c>
      <c r="S21" s="104">
        <f t="shared" si="8"/>
        <v>-442.7900000000004</v>
      </c>
    </row>
    <row r="22" spans="1:19" s="6" customFormat="1" ht="18">
      <c r="A22" s="8"/>
      <c r="B22" s="257" t="s">
        <v>179</v>
      </c>
      <c r="C22" s="123">
        <v>14031900</v>
      </c>
      <c r="D22" s="258">
        <v>42800</v>
      </c>
      <c r="E22" s="258">
        <v>18800</v>
      </c>
      <c r="F22" s="201">
        <v>17812.9</v>
      </c>
      <c r="G22" s="258">
        <f t="shared" si="0"/>
        <v>-987.0999999999985</v>
      </c>
      <c r="H22" s="195"/>
      <c r="I22" s="259">
        <f t="shared" si="4"/>
        <v>-24987.1</v>
      </c>
      <c r="J22" s="259">
        <f t="shared" si="5"/>
        <v>41.618925233644866</v>
      </c>
      <c r="K22" s="260">
        <v>0</v>
      </c>
      <c r="L22" s="166">
        <f t="shared" si="1"/>
        <v>17812.9</v>
      </c>
      <c r="M22" s="261"/>
      <c r="N22" s="195">
        <f>E22-травень!E22</f>
        <v>4000</v>
      </c>
      <c r="O22" s="179">
        <f>F22-травень!F22</f>
        <v>3039.9800000000014</v>
      </c>
      <c r="P22" s="166">
        <f t="shared" si="6"/>
        <v>-960.0199999999986</v>
      </c>
      <c r="Q22" s="259"/>
      <c r="R22" s="104">
        <v>3800</v>
      </c>
      <c r="S22" s="104">
        <f t="shared" si="8"/>
        <v>-760.0199999999986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199734.88</v>
      </c>
      <c r="G23" s="150">
        <f t="shared" si="0"/>
        <v>110.28000000002794</v>
      </c>
      <c r="H23" s="157">
        <f t="shared" si="3"/>
        <v>100.05524369241068</v>
      </c>
      <c r="I23" s="158">
        <f t="shared" si="4"/>
        <v>-201395.21999999997</v>
      </c>
      <c r="J23" s="158">
        <f t="shared" si="5"/>
        <v>49.793042207503255</v>
      </c>
      <c r="K23" s="158">
        <v>159141.65</v>
      </c>
      <c r="L23" s="161">
        <f t="shared" si="1"/>
        <v>40593.23000000001</v>
      </c>
      <c r="M23" s="209">
        <f t="shared" si="2"/>
        <v>1.255076091017028</v>
      </c>
      <c r="N23" s="157">
        <f>E23-травень!E23</f>
        <v>22572</v>
      </c>
      <c r="O23" s="160">
        <f>F23-травень!F23</f>
        <v>21429.100000000006</v>
      </c>
      <c r="P23" s="161">
        <f t="shared" si="6"/>
        <v>-1142.8999999999942</v>
      </c>
      <c r="Q23" s="158">
        <f t="shared" si="7"/>
        <v>94.9366471734893</v>
      </c>
      <c r="R23" s="293">
        <f>R24+R33+R35</f>
        <v>22714</v>
      </c>
      <c r="S23" s="299">
        <f t="shared" si="8"/>
        <v>-1284.8999999999942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95653.2</v>
      </c>
      <c r="G24" s="150">
        <f t="shared" si="0"/>
        <v>-3019.699999999997</v>
      </c>
      <c r="H24" s="157">
        <f t="shared" si="3"/>
        <v>96.9396865806113</v>
      </c>
      <c r="I24" s="158">
        <f t="shared" si="4"/>
        <v>-110967.8</v>
      </c>
      <c r="J24" s="158">
        <f t="shared" si="5"/>
        <v>46.29403594019969</v>
      </c>
      <c r="K24" s="158">
        <v>85994.38</v>
      </c>
      <c r="L24" s="161">
        <f t="shared" si="1"/>
        <v>9658.819999999992</v>
      </c>
      <c r="M24" s="209">
        <f t="shared" si="2"/>
        <v>1.1123192003942581</v>
      </c>
      <c r="N24" s="157">
        <f>E24-травень!E24</f>
        <v>15965</v>
      </c>
      <c r="O24" s="160">
        <f>F24-травень!F24</f>
        <v>13921.069999999992</v>
      </c>
      <c r="P24" s="161">
        <f t="shared" si="6"/>
        <v>-2043.9300000000076</v>
      </c>
      <c r="Q24" s="158">
        <f t="shared" si="7"/>
        <v>87.19743188224236</v>
      </c>
      <c r="R24" s="298">
        <f>R25+R28+R29</f>
        <v>15007</v>
      </c>
      <c r="S24" s="298">
        <f t="shared" si="8"/>
        <v>-1085.9300000000076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11031.2</v>
      </c>
      <c r="G25" s="171">
        <f t="shared" si="0"/>
        <v>642.1000000000004</v>
      </c>
      <c r="H25" s="173">
        <f t="shared" si="3"/>
        <v>106.18051611785428</v>
      </c>
      <c r="I25" s="174">
        <f t="shared" si="4"/>
        <v>-11777.8</v>
      </c>
      <c r="J25" s="174">
        <f t="shared" si="5"/>
        <v>48.36336533824368</v>
      </c>
      <c r="K25" s="175">
        <v>9233.59</v>
      </c>
      <c r="L25" s="166">
        <f t="shared" si="1"/>
        <v>1797.6100000000006</v>
      </c>
      <c r="M25" s="215">
        <f t="shared" si="2"/>
        <v>1.194681591883547</v>
      </c>
      <c r="N25" s="195">
        <f>E25-травень!E25</f>
        <v>805</v>
      </c>
      <c r="O25" s="179">
        <f>F25-травень!F25</f>
        <v>895.1599999999999</v>
      </c>
      <c r="P25" s="177">
        <f t="shared" si="6"/>
        <v>90.15999999999985</v>
      </c>
      <c r="Q25" s="174">
        <f t="shared" si="7"/>
        <v>111.19999999999999</v>
      </c>
      <c r="R25" s="104">
        <v>800</v>
      </c>
      <c r="S25" s="104">
        <f t="shared" si="8"/>
        <v>95.15999999999985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710</v>
      </c>
      <c r="F26" s="163">
        <v>210.57</v>
      </c>
      <c r="G26" s="198">
        <f t="shared" si="0"/>
        <v>-499.43</v>
      </c>
      <c r="H26" s="199">
        <f t="shared" si="3"/>
        <v>29.657746478873236</v>
      </c>
      <c r="I26" s="200">
        <f t="shared" si="4"/>
        <v>-1611.73</v>
      </c>
      <c r="J26" s="200">
        <f t="shared" si="5"/>
        <v>11.555177522910608</v>
      </c>
      <c r="K26" s="200">
        <v>342.1</v>
      </c>
      <c r="L26" s="200">
        <f t="shared" si="1"/>
        <v>-131.53000000000003</v>
      </c>
      <c r="M26" s="228">
        <f t="shared" si="2"/>
        <v>0.6155217772581116</v>
      </c>
      <c r="N26" s="237">
        <f>E26-травень!E26</f>
        <v>105</v>
      </c>
      <c r="O26" s="237">
        <f>F26-травень!F26</f>
        <v>13.299999999999983</v>
      </c>
      <c r="P26" s="200">
        <f t="shared" si="6"/>
        <v>-91.70000000000002</v>
      </c>
      <c r="Q26" s="200">
        <f t="shared" si="7"/>
        <v>12.666666666666652</v>
      </c>
      <c r="R26" s="104"/>
      <c r="S26" s="104">
        <f t="shared" si="8"/>
        <v>13.299999999999983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9679.1</v>
      </c>
      <c r="F27" s="163">
        <v>10457.05</v>
      </c>
      <c r="G27" s="198">
        <f t="shared" si="0"/>
        <v>777.9499999999989</v>
      </c>
      <c r="H27" s="199">
        <f t="shared" si="3"/>
        <v>108.03742083458172</v>
      </c>
      <c r="I27" s="200">
        <f t="shared" si="4"/>
        <v>-10529.650000000001</v>
      </c>
      <c r="J27" s="200">
        <f t="shared" si="5"/>
        <v>49.827033311573516</v>
      </c>
      <c r="K27" s="200">
        <v>8891.49</v>
      </c>
      <c r="L27" s="200">
        <f t="shared" si="1"/>
        <v>1565.5599999999995</v>
      </c>
      <c r="M27" s="228">
        <f t="shared" si="2"/>
        <v>1.1760739763526697</v>
      </c>
      <c r="N27" s="237">
        <f>E27-травень!E27</f>
        <v>700</v>
      </c>
      <c r="O27" s="237">
        <f>F27-травень!F27</f>
        <v>518.2799999999988</v>
      </c>
      <c r="P27" s="200">
        <f t="shared" si="6"/>
        <v>-181.72000000000116</v>
      </c>
      <c r="Q27" s="200">
        <f t="shared" si="7"/>
        <v>74.03999999999982</v>
      </c>
      <c r="R27" s="104"/>
      <c r="S27" s="104">
        <f t="shared" si="8"/>
        <v>518.2799999999988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</v>
      </c>
      <c r="G28" s="171">
        <f t="shared" si="0"/>
        <v>-223</v>
      </c>
      <c r="H28" s="173">
        <f t="shared" si="3"/>
        <v>-66.66666666666666</v>
      </c>
      <c r="I28" s="174">
        <f t="shared" si="4"/>
        <v>-909.2</v>
      </c>
      <c r="J28" s="174">
        <f t="shared" si="5"/>
        <v>-10.878048780487806</v>
      </c>
      <c r="K28" s="174">
        <v>435.05</v>
      </c>
      <c r="L28" s="174">
        <f t="shared" si="1"/>
        <v>-524.25</v>
      </c>
      <c r="M28" s="212">
        <f t="shared" si="2"/>
        <v>-0.2050339041489484</v>
      </c>
      <c r="N28" s="195">
        <f>E28-травень!E28</f>
        <v>5</v>
      </c>
      <c r="O28" s="179">
        <f>F28-травень!F28</f>
        <v>-43.720000000000006</v>
      </c>
      <c r="P28" s="177">
        <f t="shared" si="6"/>
        <v>-48.720000000000006</v>
      </c>
      <c r="Q28" s="174">
        <f>O28/N28*100</f>
        <v>-874.4000000000002</v>
      </c>
      <c r="R28" s="104">
        <v>-25</v>
      </c>
      <c r="S28" s="104">
        <f t="shared" si="8"/>
        <v>-18.720000000000006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84711.2</v>
      </c>
      <c r="G29" s="171">
        <f t="shared" si="0"/>
        <v>-3438.800000000003</v>
      </c>
      <c r="H29" s="173">
        <f t="shared" si="3"/>
        <v>96.09892229154849</v>
      </c>
      <c r="I29" s="174">
        <f t="shared" si="4"/>
        <v>-98280.8</v>
      </c>
      <c r="J29" s="174">
        <f t="shared" si="5"/>
        <v>46.292296931013375</v>
      </c>
      <c r="K29" s="175">
        <v>76325.75</v>
      </c>
      <c r="L29" s="175">
        <f t="shared" si="1"/>
        <v>8385.449999999997</v>
      </c>
      <c r="M29" s="211">
        <f t="shared" si="2"/>
        <v>1.1098639712023792</v>
      </c>
      <c r="N29" s="195">
        <f>E29-травень!E29</f>
        <v>15155</v>
      </c>
      <c r="O29" s="179">
        <f>F29-травень!F29</f>
        <v>13069.62999999999</v>
      </c>
      <c r="P29" s="177">
        <f t="shared" si="6"/>
        <v>-2085.37000000001</v>
      </c>
      <c r="Q29" s="174">
        <f>O29/N29*100</f>
        <v>86.23972286374128</v>
      </c>
      <c r="R29" s="104">
        <v>14232</v>
      </c>
      <c r="S29" s="104">
        <f t="shared" si="8"/>
        <v>-1162.37000000001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26780</v>
      </c>
      <c r="F30" s="163">
        <v>28376.71</v>
      </c>
      <c r="G30" s="198">
        <f t="shared" si="0"/>
        <v>1596.7099999999991</v>
      </c>
      <c r="H30" s="199">
        <f t="shared" si="3"/>
        <v>105.96232262882748</v>
      </c>
      <c r="I30" s="200">
        <f t="shared" si="4"/>
        <v>-29156.29</v>
      </c>
      <c r="J30" s="200">
        <f t="shared" si="5"/>
        <v>49.32249317782838</v>
      </c>
      <c r="K30" s="200">
        <v>23736.85</v>
      </c>
      <c r="L30" s="200">
        <f t="shared" si="1"/>
        <v>4639.860000000001</v>
      </c>
      <c r="M30" s="228">
        <f t="shared" si="2"/>
        <v>1.1954707553866668</v>
      </c>
      <c r="N30" s="237">
        <f>E30-травень!E30</f>
        <v>4700</v>
      </c>
      <c r="O30" s="237">
        <f>F30-травень!F30</f>
        <v>4225.4699999999975</v>
      </c>
      <c r="P30" s="200">
        <f t="shared" si="6"/>
        <v>-474.5300000000025</v>
      </c>
      <c r="Q30" s="200">
        <f>O30/N30*100</f>
        <v>89.90361702127655</v>
      </c>
      <c r="R30" s="107"/>
      <c r="S30" s="100">
        <f t="shared" si="8"/>
        <v>4225.4699999999975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61370</v>
      </c>
      <c r="F31" s="163">
        <v>52800.47</v>
      </c>
      <c r="G31" s="198">
        <f t="shared" si="0"/>
        <v>-8569.529999999999</v>
      </c>
      <c r="H31" s="199">
        <f t="shared" si="3"/>
        <v>86.03628808864266</v>
      </c>
      <c r="I31" s="200">
        <f t="shared" si="4"/>
        <v>-72658.53</v>
      </c>
      <c r="J31" s="200">
        <f t="shared" si="5"/>
        <v>42.0858368072438</v>
      </c>
      <c r="K31" s="200">
        <v>52588.89</v>
      </c>
      <c r="L31" s="200">
        <f t="shared" si="1"/>
        <v>211.58000000000175</v>
      </c>
      <c r="M31" s="228">
        <f t="shared" si="2"/>
        <v>1.004023283244807</v>
      </c>
      <c r="N31" s="237">
        <f>E31-травень!E31</f>
        <v>10455</v>
      </c>
      <c r="O31" s="237">
        <f>F31-травень!F31</f>
        <v>5310.139999999999</v>
      </c>
      <c r="P31" s="200">
        <f t="shared" si="6"/>
        <v>-5144.860000000001</v>
      </c>
      <c r="Q31" s="200">
        <f>O31/N31*100</f>
        <v>50.79043519846963</v>
      </c>
      <c r="R31" s="107"/>
      <c r="S31" s="100">
        <f t="shared" si="8"/>
        <v>5310.139999999999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8"/>
      <c r="S32" s="298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</v>
      </c>
      <c r="G33" s="150">
        <f t="shared" si="0"/>
        <v>33.2</v>
      </c>
      <c r="H33" s="157">
        <f t="shared" si="3"/>
        <v>172.17391304347828</v>
      </c>
      <c r="I33" s="158">
        <f t="shared" si="4"/>
        <v>-35.8</v>
      </c>
      <c r="J33" s="158">
        <f t="shared" si="5"/>
        <v>68.8695652173913</v>
      </c>
      <c r="K33" s="158">
        <v>55.62</v>
      </c>
      <c r="L33" s="158">
        <f t="shared" si="1"/>
        <v>23.580000000000005</v>
      </c>
      <c r="M33" s="210">
        <f>F33/K33</f>
        <v>1.423948220064725</v>
      </c>
      <c r="N33" s="157">
        <f>E33-травень!E33</f>
        <v>7</v>
      </c>
      <c r="O33" s="160">
        <f>F33-травень!F33</f>
        <v>3.969999999999999</v>
      </c>
      <c r="P33" s="161">
        <f t="shared" si="6"/>
        <v>-3.030000000000001</v>
      </c>
      <c r="Q33" s="158">
        <f>O33/N33*100</f>
        <v>56.714285714285694</v>
      </c>
      <c r="R33" s="298">
        <v>7</v>
      </c>
      <c r="S33" s="298">
        <f t="shared" si="8"/>
        <v>-3.030000000000001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 t="shared" si="0"/>
        <v>-31.32</v>
      </c>
      <c r="H34" s="157"/>
      <c r="I34" s="158">
        <f t="shared" si="4"/>
        <v>-31.32</v>
      </c>
      <c r="J34" s="158"/>
      <c r="K34" s="158">
        <v>-125.04</v>
      </c>
      <c r="L34" s="158">
        <f t="shared" si="1"/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 t="shared" si="6"/>
        <v>-4.550000000000001</v>
      </c>
      <c r="Q34" s="158"/>
      <c r="R34" s="298"/>
      <c r="S34" s="298">
        <f t="shared" si="8"/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104033.6</v>
      </c>
      <c r="G35" s="162">
        <f t="shared" si="0"/>
        <v>3127.9000000000087</v>
      </c>
      <c r="H35" s="164">
        <f t="shared" si="3"/>
        <v>103.09982488600744</v>
      </c>
      <c r="I35" s="165">
        <f t="shared" si="4"/>
        <v>-90360.5</v>
      </c>
      <c r="J35" s="165">
        <f t="shared" si="5"/>
        <v>53.516850562851445</v>
      </c>
      <c r="K35" s="178">
        <v>73216.69</v>
      </c>
      <c r="L35" s="178">
        <f>F35-K35</f>
        <v>30816.910000000003</v>
      </c>
      <c r="M35" s="226">
        <f>F35/K35</f>
        <v>1.4209000707352382</v>
      </c>
      <c r="N35" s="157">
        <f>E35-травень!E35</f>
        <v>6600</v>
      </c>
      <c r="O35" s="160">
        <f>F35-травень!F35</f>
        <v>7508.610000000001</v>
      </c>
      <c r="P35" s="167">
        <f t="shared" si="6"/>
        <v>908.6100000000006</v>
      </c>
      <c r="Q35" s="165">
        <f>O35/N35*100</f>
        <v>113.7668181818182</v>
      </c>
      <c r="R35" s="298">
        <v>7700</v>
      </c>
      <c r="S35" s="298">
        <f t="shared" si="8"/>
        <v>-191.38999999999942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20140.71</v>
      </c>
      <c r="G37" s="103">
        <f t="shared" si="0"/>
        <v>120.70999999999913</v>
      </c>
      <c r="H37" s="105">
        <f t="shared" si="3"/>
        <v>100.60294705294706</v>
      </c>
      <c r="I37" s="104">
        <f t="shared" si="4"/>
        <v>-20859.29</v>
      </c>
      <c r="J37" s="104">
        <f t="shared" si="5"/>
        <v>49.12368292682927</v>
      </c>
      <c r="K37" s="127">
        <v>18313.06</v>
      </c>
      <c r="L37" s="127">
        <f t="shared" si="1"/>
        <v>1827.6499999999978</v>
      </c>
      <c r="M37" s="216">
        <f t="shared" si="9"/>
        <v>1.0998003610538052</v>
      </c>
      <c r="N37" s="105">
        <f>E37-травень!E37</f>
        <v>1100</v>
      </c>
      <c r="O37" s="144">
        <f>F37-травень!F37</f>
        <v>879.0200000000004</v>
      </c>
      <c r="P37" s="106">
        <f t="shared" si="6"/>
        <v>-220.97999999999956</v>
      </c>
      <c r="Q37" s="104">
        <f>O37/N37*100</f>
        <v>79.91090909090913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83733.91</v>
      </c>
      <c r="G38" s="103">
        <f t="shared" si="0"/>
        <v>2873.9100000000035</v>
      </c>
      <c r="H38" s="105">
        <f t="shared" si="3"/>
        <v>103.55418006430868</v>
      </c>
      <c r="I38" s="104">
        <f t="shared" si="4"/>
        <v>-69605.19</v>
      </c>
      <c r="J38" s="104">
        <f t="shared" si="5"/>
        <v>54.607018040408484</v>
      </c>
      <c r="K38" s="127">
        <v>54889.45</v>
      </c>
      <c r="L38" s="127">
        <f t="shared" si="1"/>
        <v>28844.460000000006</v>
      </c>
      <c r="M38" s="216">
        <f t="shared" si="9"/>
        <v>1.525500984251072</v>
      </c>
      <c r="N38" s="105">
        <f>E38-травень!E38</f>
        <v>5500</v>
      </c>
      <c r="O38" s="144">
        <f>F38-травень!F38</f>
        <v>6493.720000000001</v>
      </c>
      <c r="P38" s="106">
        <f t="shared" si="6"/>
        <v>993.7200000000012</v>
      </c>
      <c r="Q38" s="104">
        <f>O38/N38*100</f>
        <v>118.06763636363638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 t="shared" si="0"/>
        <v>-2.1999999999999993</v>
      </c>
      <c r="H39" s="105">
        <f t="shared" si="3"/>
        <v>91.43968871595331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 t="shared" si="6"/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214</v>
      </c>
      <c r="C40" s="43">
        <v>220102</v>
      </c>
      <c r="D40" s="34">
        <v>0</v>
      </c>
      <c r="E40" s="34">
        <v>0</v>
      </c>
      <c r="F40" s="295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0.33999999999999997</v>
      </c>
      <c r="P40" s="36">
        <f t="shared" si="6"/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92">
        <f>F42+F43+F44+F45+F46+F48+F50+F51+F52+F53+F54+F59+F60+F64+F47+F40</f>
        <v>33843.990000000005</v>
      </c>
      <c r="G41" s="151">
        <f>G42+G43+G44+G45+G46+G48+G50+G51+G52+G53+G54+G59+G60+G64</f>
        <v>3903.7899999999986</v>
      </c>
      <c r="H41" s="152">
        <f>F41/E41*100</f>
        <v>113.12968602190796</v>
      </c>
      <c r="I41" s="153">
        <f>F41-D41</f>
        <v>-25181.009999999995</v>
      </c>
      <c r="J41" s="153">
        <f>F41/D41*100</f>
        <v>57.33839898348159</v>
      </c>
      <c r="K41" s="151">
        <v>29260.66</v>
      </c>
      <c r="L41" s="151">
        <f t="shared" si="1"/>
        <v>4583.330000000005</v>
      </c>
      <c r="M41" s="205">
        <f t="shared" si="9"/>
        <v>1.156637956901861</v>
      </c>
      <c r="N41" s="151">
        <f>N42+N43+N44+N45+N46+N48+N50+N51+N52+N53+N54+N59+N60+N64+N47</f>
        <v>5118.8</v>
      </c>
      <c r="O41" s="151">
        <f>O42+O43+O44+O45+O46+O48+O50+O51+O52+O53+O54+O59+O60+O64+O47+O40</f>
        <v>6488.879999999999</v>
      </c>
      <c r="P41" s="151">
        <f>P42+P43+P44+P45+P46+P48+P50+P51+P52+P53+P54+P59+P60+P64</f>
        <v>1306.5399999999986</v>
      </c>
      <c r="Q41" s="151">
        <f>O41/N41*100</f>
        <v>126.76564819879657</v>
      </c>
      <c r="R41" s="15">
        <f>R42+R43+R44+R45+R46+R47+R48+R50+R51+R52+R53+R54+R59+R60+R64</f>
        <v>5598.5</v>
      </c>
      <c r="S41" s="15">
        <f>O41-R41</f>
        <v>890.3799999999992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/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 t="shared" si="12"/>
        <v>80.8</v>
      </c>
      <c r="H44" s="164">
        <f>F44/E44*100</f>
        <v>467.2727272727273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E44-травень!E44</f>
        <v>1</v>
      </c>
      <c r="O44" s="168">
        <f>F44-травень!F44</f>
        <v>10</v>
      </c>
      <c r="P44" s="167">
        <f t="shared" si="14"/>
        <v>9</v>
      </c>
      <c r="Q44" s="165">
        <f t="shared" si="11"/>
        <v>1000</v>
      </c>
      <c r="R44" s="37">
        <v>10</v>
      </c>
      <c r="S44" s="37">
        <f t="shared" si="15"/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499.8</v>
      </c>
      <c r="G46" s="162">
        <f t="shared" si="12"/>
        <v>371.8</v>
      </c>
      <c r="H46" s="164">
        <f t="shared" si="10"/>
        <v>390.46875</v>
      </c>
      <c r="I46" s="165">
        <f t="shared" si="13"/>
        <v>239.8</v>
      </c>
      <c r="J46" s="165">
        <f t="shared" si="16"/>
        <v>192.23076923076923</v>
      </c>
      <c r="K46" s="165">
        <v>60.97</v>
      </c>
      <c r="L46" s="165">
        <f t="shared" si="1"/>
        <v>438.83000000000004</v>
      </c>
      <c r="M46" s="218">
        <f t="shared" si="17"/>
        <v>8.197474167623422</v>
      </c>
      <c r="N46" s="164">
        <f>E46-травень!E46</f>
        <v>22</v>
      </c>
      <c r="O46" s="168">
        <f>F46-травень!F46</f>
        <v>57.54000000000002</v>
      </c>
      <c r="P46" s="167">
        <f t="shared" si="14"/>
        <v>35.54000000000002</v>
      </c>
      <c r="Q46" s="165">
        <f t="shared" si="11"/>
        <v>261.5454545454547</v>
      </c>
      <c r="R46" s="37">
        <v>70</v>
      </c>
      <c r="S46" s="37">
        <f t="shared" si="15"/>
        <v>-12.45999999999998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 t="shared" si="12"/>
        <v>23.410000000000004</v>
      </c>
      <c r="H47" s="164">
        <f t="shared" si="10"/>
        <v>149.18067226890756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 t="shared" si="14"/>
        <v>63.199999999999996</v>
      </c>
      <c r="Q47" s="165">
        <f t="shared" si="11"/>
        <v>1029.4117647058818</v>
      </c>
      <c r="R47" s="37">
        <v>0</v>
      </c>
      <c r="S47" s="37">
        <f t="shared" si="15"/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624.1</v>
      </c>
      <c r="G48" s="162">
        <f t="shared" si="12"/>
        <v>164.10000000000002</v>
      </c>
      <c r="H48" s="164">
        <f t="shared" si="10"/>
        <v>135.67391304347828</v>
      </c>
      <c r="I48" s="165">
        <f t="shared" si="13"/>
        <v>-105.89999999999998</v>
      </c>
      <c r="J48" s="165">
        <f t="shared" si="16"/>
        <v>85.4931506849315</v>
      </c>
      <c r="K48" s="165">
        <v>168.08</v>
      </c>
      <c r="L48" s="165">
        <f t="shared" si="1"/>
        <v>456.02</v>
      </c>
      <c r="M48" s="218"/>
      <c r="N48" s="164">
        <f>E48-травень!E48</f>
        <v>60</v>
      </c>
      <c r="O48" s="168">
        <f>F48-травень!F48</f>
        <v>118.97000000000003</v>
      </c>
      <c r="P48" s="167">
        <f t="shared" si="14"/>
        <v>58.97000000000003</v>
      </c>
      <c r="Q48" s="165">
        <f t="shared" si="11"/>
        <v>198.2833333333334</v>
      </c>
      <c r="R48" s="37">
        <v>100</v>
      </c>
      <c r="S48" s="37">
        <f t="shared" si="15"/>
        <v>18.970000000000027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8174.7</v>
      </c>
      <c r="G50" s="162">
        <f t="shared" si="12"/>
        <v>2134.7</v>
      </c>
      <c r="H50" s="164">
        <f t="shared" si="10"/>
        <v>135.34271523178808</v>
      </c>
      <c r="I50" s="165">
        <f t="shared" si="13"/>
        <v>-2825.3</v>
      </c>
      <c r="J50" s="165">
        <f t="shared" si="16"/>
        <v>74.31545454545454</v>
      </c>
      <c r="K50" s="165">
        <v>5001.06</v>
      </c>
      <c r="L50" s="165">
        <f t="shared" si="1"/>
        <v>3173.6399999999994</v>
      </c>
      <c r="M50" s="218">
        <f t="shared" si="17"/>
        <v>1.6345934661851687</v>
      </c>
      <c r="N50" s="164">
        <f>E50-травень!E50</f>
        <v>900</v>
      </c>
      <c r="O50" s="168">
        <f>F50-травень!F50</f>
        <v>1924.4299999999994</v>
      </c>
      <c r="P50" s="167">
        <f t="shared" si="14"/>
        <v>1024.4299999999994</v>
      </c>
      <c r="Q50" s="165">
        <f t="shared" si="11"/>
        <v>213.8255555555555</v>
      </c>
      <c r="R50" s="37">
        <v>1400</v>
      </c>
      <c r="S50" s="37">
        <f t="shared" si="15"/>
        <v>524.4299999999994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261.5</v>
      </c>
      <c r="G51" s="162">
        <f t="shared" si="12"/>
        <v>111.5</v>
      </c>
      <c r="H51" s="164">
        <f t="shared" si="10"/>
        <v>174.33333333333334</v>
      </c>
      <c r="I51" s="165">
        <f t="shared" si="13"/>
        <v>-48.5</v>
      </c>
      <c r="J51" s="165">
        <f t="shared" si="16"/>
        <v>84.35483870967741</v>
      </c>
      <c r="K51" s="165">
        <v>68.92</v>
      </c>
      <c r="L51" s="165">
        <f t="shared" si="1"/>
        <v>192.57999999999998</v>
      </c>
      <c r="M51" s="218"/>
      <c r="N51" s="164">
        <f>E51-травень!E51</f>
        <v>25</v>
      </c>
      <c r="O51" s="168">
        <f>F51-травень!F51</f>
        <v>45.150000000000006</v>
      </c>
      <c r="P51" s="167">
        <f t="shared" si="14"/>
        <v>20.150000000000006</v>
      </c>
      <c r="Q51" s="165">
        <f t="shared" si="11"/>
        <v>180.60000000000002</v>
      </c>
      <c r="R51" s="37">
        <v>40</v>
      </c>
      <c r="S51" s="37">
        <f t="shared" si="15"/>
        <v>5.150000000000006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16.32</v>
      </c>
      <c r="G52" s="162">
        <f t="shared" si="12"/>
        <v>5.32</v>
      </c>
      <c r="H52" s="164">
        <f t="shared" si="10"/>
        <v>148.36363636363637</v>
      </c>
      <c r="I52" s="165">
        <f t="shared" si="13"/>
        <v>-3.6799999999999997</v>
      </c>
      <c r="J52" s="165">
        <f t="shared" si="16"/>
        <v>81.60000000000001</v>
      </c>
      <c r="K52" s="165">
        <v>8.54</v>
      </c>
      <c r="L52" s="165">
        <f t="shared" si="1"/>
        <v>7.780000000000001</v>
      </c>
      <c r="M52" s="218"/>
      <c r="N52" s="164">
        <f>E52-травень!E52</f>
        <v>4</v>
      </c>
      <c r="O52" s="168">
        <f>F52-травень!F52</f>
        <v>4</v>
      </c>
      <c r="P52" s="167">
        <f t="shared" si="14"/>
        <v>0</v>
      </c>
      <c r="Q52" s="165">
        <f t="shared" si="11"/>
        <v>100</v>
      </c>
      <c r="R52" s="37">
        <v>4</v>
      </c>
      <c r="S52" s="37">
        <f t="shared" si="15"/>
        <v>0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386.4</v>
      </c>
      <c r="G54" s="162">
        <f t="shared" si="12"/>
        <v>-183.60000000000002</v>
      </c>
      <c r="H54" s="164">
        <f t="shared" si="10"/>
        <v>67.78947368421052</v>
      </c>
      <c r="I54" s="165">
        <f t="shared" si="13"/>
        <v>-813.6</v>
      </c>
      <c r="J54" s="165">
        <f t="shared" si="16"/>
        <v>32.2</v>
      </c>
      <c r="K54" s="165">
        <v>3094.63</v>
      </c>
      <c r="L54" s="165">
        <f t="shared" si="1"/>
        <v>-2708.23</v>
      </c>
      <c r="M54" s="218">
        <f t="shared" si="17"/>
        <v>0.12486145355018208</v>
      </c>
      <c r="N54" s="164">
        <f>E54-травень!E54</f>
        <v>95</v>
      </c>
      <c r="O54" s="168">
        <f>F54-травень!F54</f>
        <v>52.879999999999995</v>
      </c>
      <c r="P54" s="167">
        <f t="shared" si="14"/>
        <v>-42.120000000000005</v>
      </c>
      <c r="Q54" s="165">
        <f t="shared" si="11"/>
        <v>55.663157894736834</v>
      </c>
      <c r="R54" s="37">
        <v>50</v>
      </c>
      <c r="S54" s="37">
        <f t="shared" si="15"/>
        <v>2.8799999999999955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327.78</v>
      </c>
      <c r="G55" s="34">
        <f t="shared" si="12"/>
        <v>-152.22000000000003</v>
      </c>
      <c r="H55" s="30">
        <f t="shared" si="10"/>
        <v>68.2875</v>
      </c>
      <c r="I55" s="104">
        <f t="shared" si="13"/>
        <v>-670.22</v>
      </c>
      <c r="J55" s="104">
        <f t="shared" si="16"/>
        <v>32.8436873747495</v>
      </c>
      <c r="K55" s="104">
        <v>420.67</v>
      </c>
      <c r="L55" s="104">
        <f>F55-K55</f>
        <v>-92.89000000000004</v>
      </c>
      <c r="M55" s="109">
        <f t="shared" si="17"/>
        <v>0.779185584900278</v>
      </c>
      <c r="N55" s="105">
        <f>E55-травень!E55</f>
        <v>80</v>
      </c>
      <c r="O55" s="144">
        <f>F55-травень!F55</f>
        <v>37.39999999999998</v>
      </c>
      <c r="P55" s="106">
        <f t="shared" si="14"/>
        <v>-42.60000000000002</v>
      </c>
      <c r="Q55" s="119">
        <f t="shared" si="11"/>
        <v>46.74999999999997</v>
      </c>
      <c r="R55" s="37"/>
      <c r="S55" s="37">
        <f t="shared" si="15"/>
        <v>37.39999999999998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54.03</v>
      </c>
      <c r="G58" s="34">
        <f t="shared" si="12"/>
        <v>-35.97</v>
      </c>
      <c r="H58" s="30">
        <f t="shared" si="10"/>
        <v>60.03333333333334</v>
      </c>
      <c r="I58" s="104">
        <f t="shared" si="13"/>
        <v>-145.97</v>
      </c>
      <c r="J58" s="104">
        <f t="shared" si="16"/>
        <v>27.015</v>
      </c>
      <c r="K58" s="104">
        <v>2673.71</v>
      </c>
      <c r="L58" s="104">
        <f>F58-K58</f>
        <v>-2619.68</v>
      </c>
      <c r="M58" s="109">
        <f t="shared" si="17"/>
        <v>0.02020787594765326</v>
      </c>
      <c r="N58" s="105">
        <f>E58-травень!E58</f>
        <v>15</v>
      </c>
      <c r="O58" s="144">
        <f>F58-травень!F58</f>
        <v>11.030000000000001</v>
      </c>
      <c r="P58" s="106">
        <f t="shared" si="14"/>
        <v>-3.969999999999999</v>
      </c>
      <c r="Q58" s="119">
        <f t="shared" si="11"/>
        <v>73.53333333333335</v>
      </c>
      <c r="R58" s="37"/>
      <c r="S58" s="37">
        <f t="shared" si="15"/>
        <v>11.030000000000001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4822.2</v>
      </c>
      <c r="G60" s="162">
        <f t="shared" si="12"/>
        <v>-37.80000000000018</v>
      </c>
      <c r="H60" s="164">
        <f t="shared" si="10"/>
        <v>99.22222222222223</v>
      </c>
      <c r="I60" s="165">
        <f t="shared" si="13"/>
        <v>-2527.8</v>
      </c>
      <c r="J60" s="165">
        <f t="shared" si="16"/>
        <v>65.60816326530612</v>
      </c>
      <c r="K60" s="165">
        <v>2709.14</v>
      </c>
      <c r="L60" s="165">
        <f aca="true" t="shared" si="18" ref="L60:L66">F60-K60</f>
        <v>2113.06</v>
      </c>
      <c r="M60" s="218">
        <f t="shared" si="17"/>
        <v>1.7799744568387017</v>
      </c>
      <c r="N60" s="164">
        <f>E60-травень!E60</f>
        <v>600</v>
      </c>
      <c r="O60" s="168">
        <f>F60-травень!F60</f>
        <v>785.06</v>
      </c>
      <c r="P60" s="167">
        <f t="shared" si="14"/>
        <v>185.05999999999995</v>
      </c>
      <c r="Q60" s="165">
        <f t="shared" si="11"/>
        <v>130.84333333333333</v>
      </c>
      <c r="R60" s="37">
        <v>500</v>
      </c>
      <c r="S60" s="37">
        <f t="shared" si="15"/>
        <v>285.05999999999995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1080</v>
      </c>
      <c r="G62" s="162"/>
      <c r="H62" s="164"/>
      <c r="I62" s="165"/>
      <c r="J62" s="165"/>
      <c r="K62" s="166">
        <v>592.26</v>
      </c>
      <c r="L62" s="165">
        <f t="shared" si="18"/>
        <v>487.74</v>
      </c>
      <c r="M62" s="218">
        <f t="shared" si="17"/>
        <v>1.8235234525377368</v>
      </c>
      <c r="N62" s="195"/>
      <c r="O62" s="179">
        <f>F62-травень!F62</f>
        <v>196.40999999999997</v>
      </c>
      <c r="P62" s="166"/>
      <c r="Q62" s="165"/>
      <c r="R62" s="37"/>
      <c r="S62" s="37">
        <f t="shared" si="15"/>
        <v>196.40999999999997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25.24</v>
      </c>
      <c r="G65" s="162">
        <f t="shared" si="12"/>
        <v>17.64</v>
      </c>
      <c r="H65" s="164">
        <f t="shared" si="10"/>
        <v>332.10526315789474</v>
      </c>
      <c r="I65" s="165">
        <f t="shared" si="13"/>
        <v>10.239999999999998</v>
      </c>
      <c r="J65" s="165">
        <f t="shared" si="16"/>
        <v>168.26666666666665</v>
      </c>
      <c r="K65" s="165">
        <v>13.52</v>
      </c>
      <c r="L65" s="165">
        <f t="shared" si="18"/>
        <v>11.719999999999999</v>
      </c>
      <c r="M65" s="218">
        <f t="shared" si="17"/>
        <v>1.8668639053254437</v>
      </c>
      <c r="N65" s="164">
        <f>E65-травень!E65</f>
        <v>1.1999999999999993</v>
      </c>
      <c r="O65" s="168">
        <f>F65-травень!F65</f>
        <v>2.889999999999997</v>
      </c>
      <c r="P65" s="167">
        <f t="shared" si="14"/>
        <v>1.6899999999999977</v>
      </c>
      <c r="Q65" s="165">
        <f t="shared" si="11"/>
        <v>240.83333333333323</v>
      </c>
      <c r="R65" s="37">
        <v>3.2</v>
      </c>
      <c r="S65" s="37">
        <f t="shared" si="15"/>
        <v>-0.31000000000000316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628560.07</v>
      </c>
      <c r="G67" s="151">
        <f>F67-E67</f>
        <v>-10239.229999999981</v>
      </c>
      <c r="H67" s="152">
        <f>F67/E67*100</f>
        <v>98.39711314649217</v>
      </c>
      <c r="I67" s="153">
        <f>F67-D67</f>
        <v>-728931.0300000001</v>
      </c>
      <c r="J67" s="153">
        <f>F67/D67*100</f>
        <v>46.30307115825658</v>
      </c>
      <c r="K67" s="153">
        <v>494785.99</v>
      </c>
      <c r="L67" s="153">
        <f>F67-K67</f>
        <v>133774.07999999996</v>
      </c>
      <c r="M67" s="219">
        <f>F67/K67</f>
        <v>1.2703675583053593</v>
      </c>
      <c r="N67" s="151">
        <f>N8+N41+N65+N66</f>
        <v>109292</v>
      </c>
      <c r="O67" s="151">
        <f>O8+O41+O65+O66</f>
        <v>96091.89999999998</v>
      </c>
      <c r="P67" s="155">
        <f>O67-N67</f>
        <v>-13200.10000000002</v>
      </c>
      <c r="Q67" s="153">
        <f>O67/N67*100</f>
        <v>87.92217179665481</v>
      </c>
      <c r="R67" s="27">
        <f>R8+R41+R65+R66</f>
        <v>108115.7</v>
      </c>
      <c r="S67" s="285">
        <f>O67-R67</f>
        <v>-12023.800000000017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94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3.69</v>
      </c>
      <c r="G76" s="162">
        <f t="shared" si="19"/>
        <v>-8996.31</v>
      </c>
      <c r="H76" s="164">
        <f>F76/E76*100</f>
        <v>0.041</v>
      </c>
      <c r="I76" s="167">
        <f t="shared" si="20"/>
        <v>-104202.34</v>
      </c>
      <c r="J76" s="167">
        <f>F76/D76*100</f>
        <v>0.0035410618752101004</v>
      </c>
      <c r="K76" s="167">
        <v>1042.02</v>
      </c>
      <c r="L76" s="167">
        <f t="shared" si="21"/>
        <v>-1038.33</v>
      </c>
      <c r="M76" s="209">
        <f>F76/K76</f>
        <v>0.0035411988253584385</v>
      </c>
      <c r="N76" s="164">
        <f>E76-травень!E76</f>
        <v>4500</v>
      </c>
      <c r="O76" s="168">
        <f>F76-травень!F76</f>
        <v>3.56</v>
      </c>
      <c r="P76" s="167">
        <f t="shared" si="22"/>
        <v>-4496.44</v>
      </c>
      <c r="Q76" s="167">
        <f>O76/N76*100</f>
        <v>0.07911111111111112</v>
      </c>
      <c r="R76" s="38">
        <v>0</v>
      </c>
      <c r="S76" s="38">
        <f aca="true" t="shared" si="23" ref="S76:S87">O76-R76</f>
        <v>3.56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1605.9</v>
      </c>
      <c r="G77" s="162">
        <f t="shared" si="19"/>
        <v>-14024.1</v>
      </c>
      <c r="H77" s="164">
        <f>F77/E77*100</f>
        <v>10.27447216890595</v>
      </c>
      <c r="I77" s="167">
        <f t="shared" si="20"/>
        <v>-52394.1</v>
      </c>
      <c r="J77" s="167">
        <f>F77/D77*100</f>
        <v>2.9738888888888892</v>
      </c>
      <c r="K77" s="167">
        <v>936.04</v>
      </c>
      <c r="L77" s="167">
        <f t="shared" si="21"/>
        <v>669.8600000000001</v>
      </c>
      <c r="M77" s="209">
        <f>F77/K77</f>
        <v>1.7156318106063846</v>
      </c>
      <c r="N77" s="164">
        <f>E77-травень!E77</f>
        <v>3600</v>
      </c>
      <c r="O77" s="168">
        <f>F77-травень!F77</f>
        <v>1301</v>
      </c>
      <c r="P77" s="167">
        <f t="shared" si="22"/>
        <v>-2299</v>
      </c>
      <c r="Q77" s="167">
        <f>O77/N77*100</f>
        <v>36.138888888888886</v>
      </c>
      <c r="R77" s="38">
        <v>200</v>
      </c>
      <c r="S77" s="38">
        <f t="shared" si="23"/>
        <v>1101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6356.14</v>
      </c>
      <c r="G78" s="162">
        <f t="shared" si="19"/>
        <v>-9843.86</v>
      </c>
      <c r="H78" s="164">
        <f>F78/E78*100</f>
        <v>39.23543209876543</v>
      </c>
      <c r="I78" s="167">
        <f t="shared" si="20"/>
        <v>-72643.86</v>
      </c>
      <c r="J78" s="167">
        <f>F78/D78*100</f>
        <v>8.045746835443039</v>
      </c>
      <c r="K78" s="167">
        <v>9374.51</v>
      </c>
      <c r="L78" s="167">
        <f t="shared" si="21"/>
        <v>-3018.37</v>
      </c>
      <c r="M78" s="209">
        <f>F78/K78</f>
        <v>0.6780237047056327</v>
      </c>
      <c r="N78" s="164">
        <f>E78-травень!E78</f>
        <v>3850</v>
      </c>
      <c r="O78" s="168">
        <f>F78-травень!F78</f>
        <v>1770.7200000000003</v>
      </c>
      <c r="P78" s="167">
        <f t="shared" si="22"/>
        <v>-2079.2799999999997</v>
      </c>
      <c r="Q78" s="167">
        <f>O78/N78*100</f>
        <v>45.99272727272728</v>
      </c>
      <c r="R78" s="38">
        <v>1500</v>
      </c>
      <c r="S78" s="38">
        <f t="shared" si="23"/>
        <v>270.72000000000025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7972.7300000000005</v>
      </c>
      <c r="G80" s="185">
        <f t="shared" si="19"/>
        <v>-32863.27</v>
      </c>
      <c r="H80" s="186">
        <f>F80/E80*100</f>
        <v>19.52377803898521</v>
      </c>
      <c r="I80" s="187">
        <f t="shared" si="20"/>
        <v>-229245.3</v>
      </c>
      <c r="J80" s="187">
        <f>F80/D80*100</f>
        <v>3.360929184008484</v>
      </c>
      <c r="K80" s="187">
        <v>11358.57</v>
      </c>
      <c r="L80" s="187">
        <f t="shared" si="21"/>
        <v>-3385.8399999999992</v>
      </c>
      <c r="M80" s="214">
        <f>F80/K80</f>
        <v>0.7019131809726049</v>
      </c>
      <c r="N80" s="185">
        <f>N76+N77+N78+N79</f>
        <v>11951</v>
      </c>
      <c r="O80" s="189">
        <f>O76+O77+O78+O79</f>
        <v>3076.28</v>
      </c>
      <c r="P80" s="187">
        <f t="shared" si="22"/>
        <v>-8874.72</v>
      </c>
      <c r="Q80" s="187">
        <f>O80/N80*100</f>
        <v>25.740774830558117</v>
      </c>
      <c r="R80" s="39">
        <f>SUM(R76:R79)</f>
        <v>1701</v>
      </c>
      <c r="S80" s="39">
        <f t="shared" si="23"/>
        <v>1375.2800000000002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 t="shared" si="22"/>
        <v>0.7100000000000009</v>
      </c>
      <c r="Q81" s="167"/>
      <c r="R81" s="38">
        <v>1</v>
      </c>
      <c r="S81" s="38">
        <f t="shared" si="23"/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5103.9</v>
      </c>
      <c r="G83" s="162">
        <f t="shared" si="19"/>
        <v>596.8999999999996</v>
      </c>
      <c r="H83" s="164">
        <f>F83/E83*100</f>
        <v>113.24384291102729</v>
      </c>
      <c r="I83" s="167">
        <f t="shared" si="20"/>
        <v>-3256.1000000000004</v>
      </c>
      <c r="J83" s="167">
        <f>F83/D83*100</f>
        <v>61.05143540669856</v>
      </c>
      <c r="K83" s="167">
        <v>4890.44</v>
      </c>
      <c r="L83" s="167">
        <f t="shared" si="21"/>
        <v>213.46000000000004</v>
      </c>
      <c r="M83" s="209"/>
      <c r="N83" s="164">
        <f>E83-травень!E83</f>
        <v>0.5</v>
      </c>
      <c r="O83" s="168">
        <f>F83-травень!F83</f>
        <v>0.6799999999993815</v>
      </c>
      <c r="P83" s="167">
        <f>O83-N83</f>
        <v>0.17999999999938154</v>
      </c>
      <c r="Q83" s="190">
        <f>O83/N83*100</f>
        <v>135.9999999998763</v>
      </c>
      <c r="R83" s="41">
        <v>2850</v>
      </c>
      <c r="S83" s="293">
        <f t="shared" si="23"/>
        <v>-2849.3200000000006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5139.259999999999</v>
      </c>
      <c r="G85" s="183">
        <f>G81+G84+G82+G83</f>
        <v>628.2599999999996</v>
      </c>
      <c r="H85" s="186">
        <f>F85/E85*100</f>
        <v>113.92728884947903</v>
      </c>
      <c r="I85" s="187">
        <f t="shared" si="20"/>
        <v>-3260.7400000000007</v>
      </c>
      <c r="J85" s="187">
        <f>F85/D85*100</f>
        <v>61.18166666666666</v>
      </c>
      <c r="K85" s="187">
        <v>4896.43</v>
      </c>
      <c r="L85" s="187">
        <f t="shared" si="21"/>
        <v>242.82999999999902</v>
      </c>
      <c r="M85" s="220">
        <f t="shared" si="24"/>
        <v>1.0495932751004302</v>
      </c>
      <c r="N85" s="185">
        <f>N81+N84+N82+N83</f>
        <v>1</v>
      </c>
      <c r="O85" s="189">
        <f>O81+O84+O82+O83</f>
        <v>1.8899999999993824</v>
      </c>
      <c r="P85" s="185">
        <f>P81+P84+P82+P83</f>
        <v>0.8899999999993824</v>
      </c>
      <c r="Q85" s="187">
        <f>O85/N85*100</f>
        <v>188.99999999993824</v>
      </c>
      <c r="R85" s="39">
        <f>SUM(R81:R84)</f>
        <v>2851</v>
      </c>
      <c r="S85" s="39">
        <f t="shared" si="23"/>
        <v>-2849.1100000000006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13152.67</v>
      </c>
      <c r="G88" s="192">
        <f>F88-E88</f>
        <v>-32217.630000000005</v>
      </c>
      <c r="H88" s="193">
        <f>F88/E88*100</f>
        <v>28.98960333081333</v>
      </c>
      <c r="I88" s="194">
        <f>F88-D88</f>
        <v>-232503.36</v>
      </c>
      <c r="J88" s="194">
        <f>F88/D88*100</f>
        <v>5.354100202628855</v>
      </c>
      <c r="K88" s="194">
        <v>16270.96</v>
      </c>
      <c r="L88" s="194">
        <f>F88-K88</f>
        <v>-3118.289999999999</v>
      </c>
      <c r="M88" s="221">
        <f t="shared" si="24"/>
        <v>0.8083524266546043</v>
      </c>
      <c r="N88" s="191">
        <f>N74+N75+N80+N85+N86</f>
        <v>11960</v>
      </c>
      <c r="O88" s="191">
        <f>O74+O75+O80+O85+O86</f>
        <v>3078.1699999999996</v>
      </c>
      <c r="P88" s="194">
        <f t="shared" si="22"/>
        <v>-8881.83</v>
      </c>
      <c r="Q88" s="194">
        <f>O88/N88*100</f>
        <v>25.737207357859525</v>
      </c>
      <c r="R88" s="27">
        <f>R80+R85+R86+R87</f>
        <v>4553.2</v>
      </c>
      <c r="S88" s="27">
        <f>S80+S85+S86+S87</f>
        <v>-1475.0300000000004</v>
      </c>
    </row>
    <row r="89" spans="2:19" ht="17.25">
      <c r="B89" s="21" t="s">
        <v>190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641712.74</v>
      </c>
      <c r="G89" s="192">
        <f>F89-E89</f>
        <v>-42456.859999999986</v>
      </c>
      <c r="H89" s="193">
        <f>F89/E89*100</f>
        <v>93.79439542476018</v>
      </c>
      <c r="I89" s="194">
        <f>F89-D89</f>
        <v>-961434.3900000001</v>
      </c>
      <c r="J89" s="194">
        <f>F89/D89*100</f>
        <v>40.02831231092308</v>
      </c>
      <c r="K89" s="194">
        <f>K67+K88</f>
        <v>511056.95</v>
      </c>
      <c r="L89" s="194">
        <f>F89-K89</f>
        <v>130655.78999999998</v>
      </c>
      <c r="M89" s="221">
        <f t="shared" si="24"/>
        <v>1.2556579848879856</v>
      </c>
      <c r="N89" s="192">
        <f>N67+N88</f>
        <v>121252</v>
      </c>
      <c r="O89" s="192">
        <f>O67+O88</f>
        <v>99170.06999999998</v>
      </c>
      <c r="P89" s="194">
        <f t="shared" si="22"/>
        <v>-22081.930000000022</v>
      </c>
      <c r="Q89" s="194">
        <f>O89/N89*100</f>
        <v>81.78839936660836</v>
      </c>
      <c r="R89" s="27">
        <f>R67+R88</f>
        <v>112668.9</v>
      </c>
      <c r="S89" s="27">
        <f>S67+S88</f>
        <v>-13498.830000000018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13200.10000000002</v>
      </c>
      <c r="D92" s="4" t="s">
        <v>24</v>
      </c>
      <c r="G92" s="323"/>
      <c r="H92" s="323"/>
      <c r="I92" s="323"/>
      <c r="J92" s="32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42915</v>
      </c>
      <c r="D93" s="29">
        <v>9872.9</v>
      </c>
      <c r="G93" s="4" t="s">
        <v>58</v>
      </c>
      <c r="O93" s="308"/>
      <c r="P93" s="308"/>
    </row>
    <row r="94" spans="3:16" ht="15">
      <c r="C94" s="81">
        <v>42913</v>
      </c>
      <c r="D94" s="29">
        <v>4876.1</v>
      </c>
      <c r="G94" s="302"/>
      <c r="H94" s="302"/>
      <c r="I94" s="118"/>
      <c r="J94" s="305"/>
      <c r="K94" s="305"/>
      <c r="L94" s="305"/>
      <c r="M94" s="305"/>
      <c r="N94" s="305"/>
      <c r="O94" s="308"/>
      <c r="P94" s="308"/>
    </row>
    <row r="95" spans="3:16" ht="15.75" customHeight="1">
      <c r="C95" s="81">
        <v>42912</v>
      </c>
      <c r="D95" s="29">
        <v>3525.2</v>
      </c>
      <c r="F95" s="68"/>
      <c r="G95" s="302"/>
      <c r="H95" s="302"/>
      <c r="I95" s="118"/>
      <c r="J95" s="309"/>
      <c r="K95" s="309"/>
      <c r="L95" s="309"/>
      <c r="M95" s="309"/>
      <c r="N95" s="309"/>
      <c r="O95" s="308"/>
      <c r="P95" s="308"/>
    </row>
    <row r="96" spans="3:14" ht="15.75" customHeight="1">
      <c r="C96" s="81"/>
      <c r="F96" s="68"/>
      <c r="G96" s="304"/>
      <c r="H96" s="304"/>
      <c r="I96" s="124"/>
      <c r="J96" s="305"/>
      <c r="K96" s="305"/>
      <c r="L96" s="305"/>
      <c r="M96" s="305"/>
      <c r="N96" s="305"/>
    </row>
    <row r="97" spans="2:14" ht="18" customHeight="1">
      <c r="B97" s="306" t="s">
        <v>56</v>
      </c>
      <c r="C97" s="307"/>
      <c r="D97" s="133">
        <f>'[1]залишки  (2)'!$G$6/1000</f>
        <v>2.7349</v>
      </c>
      <c r="E97" s="69"/>
      <c r="F97" s="125" t="s">
        <v>107</v>
      </c>
      <c r="G97" s="302"/>
      <c r="H97" s="302"/>
      <c r="I97" s="126"/>
      <c r="J97" s="305"/>
      <c r="K97" s="305"/>
      <c r="L97" s="305"/>
      <c r="M97" s="305"/>
      <c r="N97" s="305"/>
    </row>
    <row r="98" spans="6:13" ht="9.75" customHeight="1" hidden="1">
      <c r="F98" s="68"/>
      <c r="G98" s="302"/>
      <c r="H98" s="302"/>
      <c r="I98" s="68"/>
      <c r="J98" s="69"/>
      <c r="K98" s="69"/>
      <c r="L98" s="69"/>
      <c r="M98" s="69"/>
    </row>
    <row r="99" spans="2:13" ht="22.5" customHeight="1" hidden="1">
      <c r="B99" s="300" t="s">
        <v>59</v>
      </c>
      <c r="C99" s="301"/>
      <c r="D99" s="80">
        <v>0</v>
      </c>
      <c r="E99" s="51" t="s">
        <v>24</v>
      </c>
      <c r="F99" s="68"/>
      <c r="G99" s="302"/>
      <c r="H99" s="302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621</v>
      </c>
      <c r="F100" s="203">
        <f>F48+F51+F52</f>
        <v>901.9200000000001</v>
      </c>
      <c r="G100" s="68">
        <f>G48+G51+G52</f>
        <v>280.92</v>
      </c>
      <c r="H100" s="69"/>
      <c r="I100" s="69"/>
      <c r="N100" s="29">
        <f>N48+N51+N52</f>
        <v>89</v>
      </c>
      <c r="O100" s="202">
        <f>O48+O51+O52</f>
        <v>168.12000000000003</v>
      </c>
      <c r="P100" s="29">
        <f>P48+P51+P52</f>
        <v>79.12000000000003</v>
      </c>
    </row>
    <row r="101" spans="4:16" ht="15" hidden="1">
      <c r="D101" s="78"/>
      <c r="I101" s="29"/>
      <c r="O101" s="303"/>
      <c r="P101" s="303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596929.68</v>
      </c>
      <c r="G102" s="29">
        <f>F102-E102</f>
        <v>-12216.019999999902</v>
      </c>
      <c r="H102" s="230">
        <f>F102/E102</f>
        <v>0.9799456517545804</v>
      </c>
      <c r="I102" s="29">
        <f>F102-D102</f>
        <v>-702118.92</v>
      </c>
      <c r="J102" s="230">
        <f>F102/D102</f>
        <v>0.45951296972261085</v>
      </c>
      <c r="N102" s="29">
        <f>N9+N15+N17+N18+N19+N23+N42+N45+N65+N59</f>
        <v>104173.2</v>
      </c>
      <c r="O102" s="229">
        <f>O9+O15+O17+O18+O19+O23+O42+O45+O65+O59</f>
        <v>89603.01999999997</v>
      </c>
      <c r="P102" s="29">
        <f>O102-N102</f>
        <v>-14570.180000000022</v>
      </c>
      <c r="Q102" s="230">
        <f>O102/N102</f>
        <v>0.8601350443300194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31629.209999999995</v>
      </c>
      <c r="G103" s="29">
        <f>G43+G44+G46+G48+G50+G51+G52+G53+G54+G60+G64+G47</f>
        <v>1980.8599999999992</v>
      </c>
      <c r="H103" s="230">
        <f>F103/E103</f>
        <v>1.0666229395419105</v>
      </c>
      <c r="I103" s="29">
        <f>I43+I44+I46+I48+I50+I51+I52+I53+I54+I60+I64+I47</f>
        <v>-26808.040000000005</v>
      </c>
      <c r="J103" s="230">
        <f>F103/D103</f>
        <v>0.5412022072977712</v>
      </c>
      <c r="K103" s="29">
        <f aca="true" t="shared" si="25" ref="K103:P103">K43+K44+K46+K48+K50+K51+K52+K53+K54+K60+K64+K47</f>
        <v>29017.919999999995</v>
      </c>
      <c r="L103" s="29">
        <f t="shared" si="25"/>
        <v>2616.539999999999</v>
      </c>
      <c r="M103" s="29">
        <f t="shared" si="25"/>
        <v>17.56203561010337</v>
      </c>
      <c r="N103" s="29">
        <f>N43+N44+N46+N48+N50+N51+N52+N53+N54+N60+N64+N47+N66</f>
        <v>5118.8</v>
      </c>
      <c r="O103" s="229">
        <f>O43+O44+O46+O48+O50+O51+O52+O53+O54+O60+O64+O47+O66</f>
        <v>6488.539999999999</v>
      </c>
      <c r="P103" s="29">
        <f t="shared" si="25"/>
        <v>1369.7399999999986</v>
      </c>
      <c r="Q103" s="230">
        <f>O103/N103</f>
        <v>1.2675900601703523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628558.89</v>
      </c>
      <c r="G104" s="29">
        <f t="shared" si="26"/>
        <v>-10235.159999999903</v>
      </c>
      <c r="H104" s="230">
        <f>F104/E104</f>
        <v>0.9839692842493724</v>
      </c>
      <c r="I104" s="29">
        <f t="shared" si="26"/>
        <v>-728926.9600000001</v>
      </c>
      <c r="J104" s="230">
        <f>F104/D104</f>
        <v>0.4630298423319313</v>
      </c>
      <c r="K104" s="29">
        <f t="shared" si="26"/>
        <v>29017.919999999995</v>
      </c>
      <c r="L104" s="29">
        <f t="shared" si="26"/>
        <v>2616.539999999999</v>
      </c>
      <c r="M104" s="29">
        <f t="shared" si="26"/>
        <v>17.56203561010337</v>
      </c>
      <c r="N104" s="29">
        <f t="shared" si="26"/>
        <v>109292</v>
      </c>
      <c r="O104" s="229">
        <f t="shared" si="26"/>
        <v>96091.55999999997</v>
      </c>
      <c r="P104" s="29">
        <f t="shared" si="26"/>
        <v>-13200.440000000024</v>
      </c>
      <c r="Q104" s="230">
        <f>O104/N104</f>
        <v>0.8792186070343664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-4.0700000000779255</v>
      </c>
      <c r="H105" s="230"/>
      <c r="I105" s="29">
        <f t="shared" si="27"/>
        <v>-4.070000000065193</v>
      </c>
      <c r="J105" s="230"/>
      <c r="K105" s="29">
        <f t="shared" si="27"/>
        <v>465768.07</v>
      </c>
      <c r="L105" s="29">
        <f t="shared" si="27"/>
        <v>131157.53999999995</v>
      </c>
      <c r="M105" s="29">
        <f t="shared" si="27"/>
        <v>-16.29166805179801</v>
      </c>
      <c r="N105" s="29">
        <f t="shared" si="27"/>
        <v>0</v>
      </c>
      <c r="O105" s="29">
        <f t="shared" si="27"/>
        <v>0.34000000001105946</v>
      </c>
      <c r="P105" s="29">
        <f t="shared" si="27"/>
        <v>0.3400000000037835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64603.59999999993</v>
      </c>
    </row>
    <row r="108" spans="2:5" ht="15" hidden="1">
      <c r="B108" s="250" t="s">
        <v>174</v>
      </c>
      <c r="E108" s="29">
        <f>E88-E83-E76-E77</f>
        <v>16233.300000000003</v>
      </c>
    </row>
    <row r="109" ht="15" hidden="1"/>
    <row r="110" spans="2:19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275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33406.99</v>
      </c>
      <c r="G111" s="192">
        <f>F111-E111</f>
        <v>-30065.370000000003</v>
      </c>
      <c r="H111" s="193">
        <f>F111/E111*100</f>
        <v>52.63234264489298</v>
      </c>
      <c r="I111" s="194">
        <f>F111-D111</f>
        <v>-284657.26</v>
      </c>
      <c r="J111" s="194">
        <f>F111/D111*100</f>
        <v>10.503220654317484</v>
      </c>
      <c r="K111" s="194">
        <v>3039.87</v>
      </c>
      <c r="L111" s="194">
        <f>F111-K111</f>
        <v>30367.12</v>
      </c>
      <c r="M111" s="274">
        <f>F111/K111</f>
        <v>10.989611397855828</v>
      </c>
      <c r="N111" s="277"/>
      <c r="O111" s="277"/>
      <c r="P111" s="278"/>
      <c r="Q111" s="278"/>
      <c r="R111" s="276">
        <f>O111-8104.96</f>
        <v>-8104.96</v>
      </c>
      <c r="S111" s="276"/>
    </row>
    <row r="112" spans="2:19" ht="17.25" hidden="1">
      <c r="B112" s="21" t="s">
        <v>189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661967.0599999999</v>
      </c>
      <c r="G112" s="192">
        <f>F112-E112</f>
        <v>-40304.59999999998</v>
      </c>
      <c r="H112" s="193">
        <f>F112/E112*100</f>
        <v>94.2608249348977</v>
      </c>
      <c r="I112" s="194">
        <f>F112-D112</f>
        <v>-1013588.2900000002</v>
      </c>
      <c r="J112" s="194">
        <f>F112/D112*100</f>
        <v>39.50732275122991</v>
      </c>
      <c r="K112" s="194">
        <f>K89+K111</f>
        <v>514096.82</v>
      </c>
      <c r="L112" s="194">
        <f>F112-K112</f>
        <v>147870.23999999993</v>
      </c>
      <c r="M112" s="274">
        <f>F112/K112</f>
        <v>1.2876311119761448</v>
      </c>
      <c r="N112" s="279"/>
      <c r="O112" s="279"/>
      <c r="P112" s="278"/>
      <c r="Q112" s="278"/>
      <c r="R112" s="276">
        <f>O112-42872.96</f>
        <v>-42872.96</v>
      </c>
      <c r="S112" s="276"/>
    </row>
    <row r="113" spans="2:17" ht="15" hidden="1">
      <c r="B113" s="241" t="s">
        <v>191</v>
      </c>
      <c r="C113" s="239">
        <v>40000000</v>
      </c>
      <c r="D113" s="248">
        <f aca="true" t="shared" si="28" ref="D113:F114">D114</f>
        <v>1222868.6900000002</v>
      </c>
      <c r="E113" s="248">
        <f t="shared" si="28"/>
        <v>550655.6</v>
      </c>
      <c r="F113" s="248">
        <f t="shared" si="28"/>
        <v>545829.08</v>
      </c>
      <c r="G113" s="248">
        <f aca="true" t="shared" si="29" ref="G113:G124">F113-E113</f>
        <v>-4826.520000000019</v>
      </c>
      <c r="H113" s="248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156</v>
      </c>
      <c r="C114" s="239">
        <v>41000000</v>
      </c>
      <c r="D114" s="248">
        <f t="shared" si="28"/>
        <v>1222868.6900000002</v>
      </c>
      <c r="E114" s="248">
        <f t="shared" si="28"/>
        <v>550655.6</v>
      </c>
      <c r="F114" s="248">
        <f t="shared" si="28"/>
        <v>545829.08</v>
      </c>
      <c r="G114" s="248">
        <f t="shared" si="29"/>
        <v>-4826.520000000019</v>
      </c>
      <c r="H114" s="248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9"/>
        <v>-4826.520000000019</v>
      </c>
      <c r="H115" s="248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9"/>
        <v>-3734.029999999999</v>
      </c>
      <c r="H116" s="248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9"/>
        <v>-707.6699999999837</v>
      </c>
      <c r="H117" s="248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9"/>
        <v>-16.159999999999997</v>
      </c>
      <c r="H118" s="248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9"/>
        <v>0</v>
      </c>
      <c r="H119" s="248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9"/>
        <v>0</v>
      </c>
      <c r="H120" s="248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9"/>
        <v>-460.1399999999999</v>
      </c>
      <c r="H121" s="248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9"/>
        <v>165.7</v>
      </c>
      <c r="H122" s="248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9"/>
        <v>-74.22000000000003</v>
      </c>
      <c r="H123" s="248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1252927.2599999998</v>
      </c>
      <c r="F124" s="282">
        <f>F112+F113</f>
        <v>1207796.14</v>
      </c>
      <c r="G124" s="283">
        <f t="shared" si="29"/>
        <v>-45131.11999999988</v>
      </c>
      <c r="H124" s="282">
        <f t="shared" si="31"/>
        <v>96.39794571953044</v>
      </c>
      <c r="I124" s="284">
        <f t="shared" si="30"/>
        <v>-1690627.9000000001</v>
      </c>
      <c r="J124" s="284">
        <f t="shared" si="32"/>
        <v>41.670788101798934</v>
      </c>
      <c r="Q124" s="244"/>
    </row>
    <row r="125" ht="15" hidden="1"/>
    <row r="126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8" t="s">
        <v>215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86"/>
      <c r="S1" s="86"/>
      <c r="T1" s="86"/>
      <c r="U1" s="87"/>
    </row>
    <row r="2" spans="2:21" s="1" customFormat="1" ht="15.75" customHeight="1">
      <c r="B2" s="329"/>
      <c r="C2" s="329"/>
      <c r="D2" s="329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0"/>
      <c r="B3" s="332"/>
      <c r="C3" s="333" t="s">
        <v>0</v>
      </c>
      <c r="D3" s="334" t="s">
        <v>151</v>
      </c>
      <c r="E3" s="32"/>
      <c r="F3" s="335" t="s">
        <v>26</v>
      </c>
      <c r="G3" s="336"/>
      <c r="H3" s="336"/>
      <c r="I3" s="336"/>
      <c r="J3" s="337"/>
      <c r="K3" s="83"/>
      <c r="L3" s="83"/>
      <c r="M3" s="83"/>
      <c r="N3" s="338" t="s">
        <v>209</v>
      </c>
      <c r="O3" s="316" t="s">
        <v>210</v>
      </c>
      <c r="P3" s="316"/>
      <c r="Q3" s="316"/>
      <c r="R3" s="316"/>
      <c r="S3" s="316"/>
      <c r="T3" s="316"/>
      <c r="U3" s="316"/>
    </row>
    <row r="4" spans="1:21" ht="22.5" customHeight="1">
      <c r="A4" s="330"/>
      <c r="B4" s="332"/>
      <c r="C4" s="333"/>
      <c r="D4" s="334"/>
      <c r="E4" s="324" t="s">
        <v>206</v>
      </c>
      <c r="F4" s="310" t="s">
        <v>33</v>
      </c>
      <c r="G4" s="312" t="s">
        <v>207</v>
      </c>
      <c r="H4" s="314" t="s">
        <v>208</v>
      </c>
      <c r="I4" s="312" t="s">
        <v>138</v>
      </c>
      <c r="J4" s="314" t="s">
        <v>139</v>
      </c>
      <c r="K4" s="85" t="s">
        <v>141</v>
      </c>
      <c r="L4" s="204" t="s">
        <v>113</v>
      </c>
      <c r="M4" s="90" t="s">
        <v>63</v>
      </c>
      <c r="N4" s="314"/>
      <c r="O4" s="326" t="s">
        <v>216</v>
      </c>
      <c r="P4" s="312" t="s">
        <v>49</v>
      </c>
      <c r="Q4" s="31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1"/>
      <c r="B5" s="332"/>
      <c r="C5" s="333"/>
      <c r="D5" s="334"/>
      <c r="E5" s="325"/>
      <c r="F5" s="311"/>
      <c r="G5" s="313"/>
      <c r="H5" s="315"/>
      <c r="I5" s="313"/>
      <c r="J5" s="315"/>
      <c r="K5" s="318" t="s">
        <v>212</v>
      </c>
      <c r="L5" s="319"/>
      <c r="M5" s="320"/>
      <c r="N5" s="315"/>
      <c r="O5" s="327"/>
      <c r="P5" s="313"/>
      <c r="Q5" s="317"/>
      <c r="R5" s="321" t="s">
        <v>211</v>
      </c>
      <c r="S5" s="322"/>
      <c r="T5" s="339" t="s">
        <v>202</v>
      </c>
      <c r="U5" s="33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6">
        <v>57980</v>
      </c>
      <c r="S9" s="296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7">
        <v>150</v>
      </c>
      <c r="S15" s="296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180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7">
        <v>9450</v>
      </c>
      <c r="S19" s="296">
        <f t="shared" si="8"/>
        <v>-559.6740000000063</v>
      </c>
      <c r="T19" s="37"/>
      <c r="U19" s="94"/>
    </row>
    <row r="20" spans="1:21" s="6" customFormat="1" ht="61.5">
      <c r="A20" s="8"/>
      <c r="B20" s="257" t="s">
        <v>213</v>
      </c>
      <c r="C20" s="123">
        <v>14040000</v>
      </c>
      <c r="D20" s="258">
        <v>76500</v>
      </c>
      <c r="E20" s="258">
        <v>29650</v>
      </c>
      <c r="F20" s="201">
        <v>26128.49</v>
      </c>
      <c r="G20" s="258">
        <f t="shared" si="0"/>
        <v>-3521.5099999999984</v>
      </c>
      <c r="H20" s="195">
        <f t="shared" si="3"/>
        <v>88.12306913996628</v>
      </c>
      <c r="I20" s="259">
        <f t="shared" si="4"/>
        <v>-50371.509999999995</v>
      </c>
      <c r="J20" s="259">
        <f t="shared" si="5"/>
        <v>34.15488888888889</v>
      </c>
      <c r="K20" s="260">
        <v>35230.56</v>
      </c>
      <c r="L20" s="166">
        <f t="shared" si="1"/>
        <v>-9102.069999999996</v>
      </c>
      <c r="M20" s="261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9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7" t="s">
        <v>178</v>
      </c>
      <c r="C21" s="123">
        <v>14021900</v>
      </c>
      <c r="D21" s="258">
        <v>10700</v>
      </c>
      <c r="E21" s="258">
        <v>3950</v>
      </c>
      <c r="F21" s="201">
        <v>4093.69</v>
      </c>
      <c r="G21" s="258">
        <f t="shared" si="0"/>
        <v>143.69000000000005</v>
      </c>
      <c r="H21" s="195"/>
      <c r="I21" s="259">
        <f t="shared" si="4"/>
        <v>-6606.3099999999995</v>
      </c>
      <c r="J21" s="259">
        <f t="shared" si="5"/>
        <v>38.258785046728974</v>
      </c>
      <c r="K21" s="260">
        <v>0</v>
      </c>
      <c r="L21" s="166">
        <f t="shared" si="1"/>
        <v>4093.69</v>
      </c>
      <c r="M21" s="261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9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7" t="s">
        <v>179</v>
      </c>
      <c r="C22" s="123">
        <v>14031900</v>
      </c>
      <c r="D22" s="258">
        <v>42800</v>
      </c>
      <c r="E22" s="258">
        <v>14800</v>
      </c>
      <c r="F22" s="201">
        <v>14772.92</v>
      </c>
      <c r="G22" s="258">
        <f t="shared" si="0"/>
        <v>-27.079999999999927</v>
      </c>
      <c r="H22" s="195"/>
      <c r="I22" s="259">
        <f t="shared" si="4"/>
        <v>-28027.08</v>
      </c>
      <c r="J22" s="259">
        <f t="shared" si="5"/>
        <v>34.516168224299065</v>
      </c>
      <c r="K22" s="260">
        <v>0</v>
      </c>
      <c r="L22" s="166">
        <f t="shared" si="1"/>
        <v>14772.92</v>
      </c>
      <c r="M22" s="261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9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8">
        <f>R24+R32+R33+R34+R35</f>
        <v>37059</v>
      </c>
      <c r="S23" s="296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8">
        <v>347</v>
      </c>
      <c r="S25" s="296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8">
        <v>14000</v>
      </c>
      <c r="S29" s="296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8">
        <v>22700</v>
      </c>
      <c r="S35" s="296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214</v>
      </c>
      <c r="C40" s="43">
        <v>220102</v>
      </c>
      <c r="D40" s="34">
        <v>0</v>
      </c>
      <c r="E40" s="34">
        <v>0</v>
      </c>
      <c r="F40" s="295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92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7">
        <v>420</v>
      </c>
      <c r="S42" s="297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30.75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5">
        <f>O67-R67</f>
        <v>2792.416000000012</v>
      </c>
      <c r="T67" s="285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94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6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7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93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190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3"/>
      <c r="H92" s="323"/>
      <c r="I92" s="323"/>
      <c r="J92" s="32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8"/>
      <c r="P93" s="308"/>
    </row>
    <row r="94" spans="3:16" ht="15">
      <c r="C94" s="81">
        <v>42885</v>
      </c>
      <c r="D94" s="29">
        <v>10664.9</v>
      </c>
      <c r="F94" s="113" t="s">
        <v>58</v>
      </c>
      <c r="G94" s="302"/>
      <c r="H94" s="302"/>
      <c r="I94" s="118"/>
      <c r="J94" s="305"/>
      <c r="K94" s="305"/>
      <c r="L94" s="305"/>
      <c r="M94" s="305"/>
      <c r="N94" s="305"/>
      <c r="O94" s="308"/>
      <c r="P94" s="308"/>
    </row>
    <row r="95" spans="3:16" ht="15.75" customHeight="1">
      <c r="C95" s="81">
        <v>42884</v>
      </c>
      <c r="D95" s="29">
        <v>6919.44</v>
      </c>
      <c r="F95" s="68"/>
      <c r="G95" s="302"/>
      <c r="H95" s="302"/>
      <c r="I95" s="118"/>
      <c r="J95" s="309"/>
      <c r="K95" s="309"/>
      <c r="L95" s="309"/>
      <c r="M95" s="309"/>
      <c r="N95" s="309"/>
      <c r="O95" s="308"/>
      <c r="P95" s="308"/>
    </row>
    <row r="96" spans="3:14" ht="15.75" customHeight="1">
      <c r="C96" s="81"/>
      <c r="F96" s="68"/>
      <c r="G96" s="304"/>
      <c r="H96" s="304"/>
      <c r="I96" s="124"/>
      <c r="J96" s="305"/>
      <c r="K96" s="305"/>
      <c r="L96" s="305"/>
      <c r="M96" s="305"/>
      <c r="N96" s="305"/>
    </row>
    <row r="97" spans="2:14" ht="18" customHeight="1">
      <c r="B97" s="306" t="s">
        <v>56</v>
      </c>
      <c r="C97" s="307"/>
      <c r="D97" s="133">
        <v>1135.71022</v>
      </c>
      <c r="E97" s="69"/>
      <c r="F97" s="125" t="s">
        <v>107</v>
      </c>
      <c r="G97" s="302"/>
      <c r="H97" s="302"/>
      <c r="I97" s="126"/>
      <c r="J97" s="305"/>
      <c r="K97" s="305"/>
      <c r="L97" s="305"/>
      <c r="M97" s="305"/>
      <c r="N97" s="305"/>
    </row>
    <row r="98" spans="6:13" ht="9.75" customHeight="1" hidden="1">
      <c r="F98" s="68"/>
      <c r="G98" s="302"/>
      <c r="H98" s="302"/>
      <c r="I98" s="68"/>
      <c r="J98" s="69"/>
      <c r="K98" s="69"/>
      <c r="L98" s="69"/>
      <c r="M98" s="69"/>
    </row>
    <row r="99" spans="2:13" ht="22.5" customHeight="1" hidden="1">
      <c r="B99" s="300" t="s">
        <v>59</v>
      </c>
      <c r="C99" s="301"/>
      <c r="D99" s="80">
        <v>0</v>
      </c>
      <c r="E99" s="51" t="s">
        <v>24</v>
      </c>
      <c r="F99" s="68"/>
      <c r="G99" s="302"/>
      <c r="H99" s="302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03"/>
      <c r="P101" s="303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53716.60000000005</v>
      </c>
    </row>
    <row r="108" spans="2:5" ht="15" hidden="1">
      <c r="B108" s="250" t="s">
        <v>174</v>
      </c>
      <c r="E108" s="29">
        <f>E88-E83-E76-E77</f>
        <v>12373.800000000003</v>
      </c>
    </row>
    <row r="109" ht="15" hidden="1"/>
    <row r="110" spans="2:21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275"/>
      <c r="T110" s="275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74">
        <f>F111/K111</f>
        <v>9.977012174862741</v>
      </c>
      <c r="N111" s="277"/>
      <c r="O111" s="277"/>
      <c r="P111" s="278"/>
      <c r="Q111" s="278"/>
      <c r="R111" s="276">
        <f>O111-8104.96</f>
        <v>-8104.96</v>
      </c>
      <c r="S111" s="276"/>
      <c r="T111" s="276"/>
      <c r="U111" s="95">
        <f>O111/8104.96</f>
        <v>0</v>
      </c>
    </row>
    <row r="112" spans="2:21" ht="17.25" hidden="1">
      <c r="B112" s="21" t="s">
        <v>189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74">
        <f>F112/K112</f>
        <v>1.3502141473162528</v>
      </c>
      <c r="N112" s="279"/>
      <c r="O112" s="279"/>
      <c r="P112" s="278"/>
      <c r="Q112" s="278"/>
      <c r="R112" s="276">
        <f>O112-42872.96</f>
        <v>-42872.96</v>
      </c>
      <c r="S112" s="276"/>
      <c r="T112" s="276"/>
      <c r="U112" s="95">
        <f>O112/42872.96</f>
        <v>0</v>
      </c>
    </row>
    <row r="113" spans="2:21" ht="15" hidden="1">
      <c r="B113" s="241" t="s">
        <v>191</v>
      </c>
      <c r="C113" s="239">
        <v>40000000</v>
      </c>
      <c r="D113" s="248">
        <f aca="true" t="shared" si="28" ref="D113:F114">D114</f>
        <v>1222868.6900000002</v>
      </c>
      <c r="E113" s="248">
        <f t="shared" si="28"/>
        <v>550655.6</v>
      </c>
      <c r="F113" s="248">
        <f t="shared" si="28"/>
        <v>545829.08</v>
      </c>
      <c r="G113" s="248">
        <f aca="true" t="shared" si="29" ref="G113:G124">F113-E113</f>
        <v>-4826.520000000019</v>
      </c>
      <c r="H113" s="248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156</v>
      </c>
      <c r="C114" s="239">
        <v>41000000</v>
      </c>
      <c r="D114" s="248">
        <f t="shared" si="28"/>
        <v>1222868.6900000002</v>
      </c>
      <c r="E114" s="248">
        <f t="shared" si="28"/>
        <v>550655.6</v>
      </c>
      <c r="F114" s="248">
        <f t="shared" si="28"/>
        <v>545829.08</v>
      </c>
      <c r="G114" s="248">
        <f t="shared" si="29"/>
        <v>-4826.520000000019</v>
      </c>
      <c r="H114" s="248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9"/>
        <v>-4826.520000000019</v>
      </c>
      <c r="H115" s="248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9"/>
        <v>-3734.029999999999</v>
      </c>
      <c r="H116" s="248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9"/>
        <v>-707.6699999999837</v>
      </c>
      <c r="H117" s="248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9"/>
        <v>-16.159999999999997</v>
      </c>
      <c r="H118" s="248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9"/>
        <v>0</v>
      </c>
      <c r="H119" s="248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9"/>
        <v>0</v>
      </c>
      <c r="H120" s="248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9"/>
        <v>-460.1399999999999</v>
      </c>
      <c r="H121" s="248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9"/>
        <v>165.7</v>
      </c>
      <c r="H122" s="248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9"/>
        <v>-74.22000000000003</v>
      </c>
      <c r="H123" s="248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1131675.26</v>
      </c>
      <c r="F124" s="282">
        <f>F112+F113</f>
        <v>1108626.0699999998</v>
      </c>
      <c r="G124" s="283">
        <f t="shared" si="29"/>
        <v>-23049.190000000177</v>
      </c>
      <c r="H124" s="282">
        <f t="shared" si="31"/>
        <v>97.96326819055847</v>
      </c>
      <c r="I124" s="284">
        <f t="shared" si="30"/>
        <v>-1789797.9700000002</v>
      </c>
      <c r="J124" s="284">
        <f t="shared" si="32"/>
        <v>38.24927114529452</v>
      </c>
      <c r="Q124" s="244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8" t="s">
        <v>204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86"/>
      <c r="S1" s="86"/>
      <c r="T1" s="86"/>
      <c r="U1" s="87"/>
    </row>
    <row r="2" spans="2:21" s="1" customFormat="1" ht="15.75" customHeight="1">
      <c r="B2" s="329"/>
      <c r="C2" s="329"/>
      <c r="D2" s="329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0"/>
      <c r="B3" s="332"/>
      <c r="C3" s="333" t="s">
        <v>0</v>
      </c>
      <c r="D3" s="334" t="s">
        <v>151</v>
      </c>
      <c r="E3" s="32"/>
      <c r="F3" s="335" t="s">
        <v>26</v>
      </c>
      <c r="G3" s="336"/>
      <c r="H3" s="336"/>
      <c r="I3" s="336"/>
      <c r="J3" s="337"/>
      <c r="K3" s="83"/>
      <c r="L3" s="83"/>
      <c r="M3" s="83"/>
      <c r="N3" s="338" t="s">
        <v>199</v>
      </c>
      <c r="O3" s="316" t="s">
        <v>198</v>
      </c>
      <c r="P3" s="316"/>
      <c r="Q3" s="316"/>
      <c r="R3" s="316"/>
      <c r="S3" s="316"/>
      <c r="T3" s="316"/>
      <c r="U3" s="316"/>
    </row>
    <row r="4" spans="1:21" ht="22.5" customHeight="1">
      <c r="A4" s="330"/>
      <c r="B4" s="332"/>
      <c r="C4" s="333"/>
      <c r="D4" s="334"/>
      <c r="E4" s="324" t="s">
        <v>195</v>
      </c>
      <c r="F4" s="310" t="s">
        <v>33</v>
      </c>
      <c r="G4" s="312" t="s">
        <v>196</v>
      </c>
      <c r="H4" s="314" t="s">
        <v>197</v>
      </c>
      <c r="I4" s="312" t="s">
        <v>138</v>
      </c>
      <c r="J4" s="314" t="s">
        <v>139</v>
      </c>
      <c r="K4" s="85" t="s">
        <v>141</v>
      </c>
      <c r="L4" s="204" t="s">
        <v>113</v>
      </c>
      <c r="M4" s="90" t="s">
        <v>63</v>
      </c>
      <c r="N4" s="314"/>
      <c r="O4" s="326" t="s">
        <v>205</v>
      </c>
      <c r="P4" s="312" t="s">
        <v>49</v>
      </c>
      <c r="Q4" s="31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1"/>
      <c r="B5" s="332"/>
      <c r="C5" s="333"/>
      <c r="D5" s="334"/>
      <c r="E5" s="325"/>
      <c r="F5" s="311"/>
      <c r="G5" s="313"/>
      <c r="H5" s="315"/>
      <c r="I5" s="313"/>
      <c r="J5" s="315"/>
      <c r="K5" s="318" t="s">
        <v>200</v>
      </c>
      <c r="L5" s="319"/>
      <c r="M5" s="320"/>
      <c r="N5" s="315"/>
      <c r="O5" s="327"/>
      <c r="P5" s="313"/>
      <c r="Q5" s="317"/>
      <c r="R5" s="321" t="s">
        <v>201</v>
      </c>
      <c r="S5" s="322"/>
      <c r="T5" s="339" t="s">
        <v>202</v>
      </c>
      <c r="U5" s="33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92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180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7" t="s">
        <v>213</v>
      </c>
      <c r="C20" s="123">
        <v>14040000</v>
      </c>
      <c r="D20" s="258">
        <v>76500</v>
      </c>
      <c r="E20" s="258">
        <v>23900</v>
      </c>
      <c r="F20" s="201">
        <v>21979.58</v>
      </c>
      <c r="G20" s="258">
        <f t="shared" si="0"/>
        <v>-1920.4199999999983</v>
      </c>
      <c r="H20" s="195">
        <f t="shared" si="3"/>
        <v>91.96476987447699</v>
      </c>
      <c r="I20" s="259">
        <f t="shared" si="4"/>
        <v>-54520.42</v>
      </c>
      <c r="J20" s="259">
        <f t="shared" si="5"/>
        <v>28.73147712418301</v>
      </c>
      <c r="K20" s="260">
        <v>26018.6</v>
      </c>
      <c r="L20" s="166">
        <f t="shared" si="1"/>
        <v>-4039.019999999997</v>
      </c>
      <c r="M20" s="261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9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7" t="s">
        <v>178</v>
      </c>
      <c r="C21" s="123">
        <v>14021900</v>
      </c>
      <c r="D21" s="258">
        <v>10700</v>
      </c>
      <c r="E21" s="258">
        <v>3000</v>
      </c>
      <c r="F21" s="201">
        <v>3118.94</v>
      </c>
      <c r="G21" s="258">
        <f t="shared" si="0"/>
        <v>118.94000000000005</v>
      </c>
      <c r="H21" s="195"/>
      <c r="I21" s="259">
        <f t="shared" si="4"/>
        <v>-7581.0599999999995</v>
      </c>
      <c r="J21" s="259">
        <f t="shared" si="5"/>
        <v>29.14897196261682</v>
      </c>
      <c r="K21" s="260">
        <v>0</v>
      </c>
      <c r="L21" s="166">
        <f t="shared" si="1"/>
        <v>3118.94</v>
      </c>
      <c r="M21" s="261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9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7" t="s">
        <v>179</v>
      </c>
      <c r="C22" s="123">
        <v>14031900</v>
      </c>
      <c r="D22" s="258">
        <v>42800</v>
      </c>
      <c r="E22" s="258">
        <v>11000</v>
      </c>
      <c r="F22" s="201">
        <v>11006.24</v>
      </c>
      <c r="G22" s="258">
        <f t="shared" si="0"/>
        <v>6.239999999999782</v>
      </c>
      <c r="H22" s="195"/>
      <c r="I22" s="259">
        <f t="shared" si="4"/>
        <v>-31793.760000000002</v>
      </c>
      <c r="J22" s="259">
        <f t="shared" si="5"/>
        <v>25.715514018691586</v>
      </c>
      <c r="K22" s="260">
        <v>0</v>
      </c>
      <c r="L22" s="166">
        <f t="shared" si="1"/>
        <v>11006.24</v>
      </c>
      <c r="M22" s="261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9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8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92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417417.1</v>
      </c>
      <c r="F67" s="292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5">
        <f>O67-R67</f>
        <v>1707.9540000000125</v>
      </c>
      <c r="T67" s="285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94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6"/>
      <c r="T79" s="286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7"/>
      <c r="T80" s="287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190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3"/>
      <c r="H92" s="323"/>
      <c r="I92" s="323"/>
      <c r="J92" s="32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8"/>
      <c r="P93" s="308"/>
    </row>
    <row r="94" spans="3:16" ht="15">
      <c r="C94" s="81">
        <v>42852</v>
      </c>
      <c r="D94" s="29">
        <v>13266.8</v>
      </c>
      <c r="F94" s="113" t="s">
        <v>58</v>
      </c>
      <c r="G94" s="302"/>
      <c r="H94" s="302"/>
      <c r="I94" s="118"/>
      <c r="J94" s="305"/>
      <c r="K94" s="305"/>
      <c r="L94" s="305"/>
      <c r="M94" s="305"/>
      <c r="N94" s="305"/>
      <c r="O94" s="308"/>
      <c r="P94" s="308"/>
    </row>
    <row r="95" spans="3:16" ht="15.75" customHeight="1">
      <c r="C95" s="81">
        <v>42851</v>
      </c>
      <c r="D95" s="29">
        <v>6064.2</v>
      </c>
      <c r="F95" s="68"/>
      <c r="G95" s="302"/>
      <c r="H95" s="302"/>
      <c r="I95" s="118"/>
      <c r="J95" s="309"/>
      <c r="K95" s="309"/>
      <c r="L95" s="309"/>
      <c r="M95" s="309"/>
      <c r="N95" s="309"/>
      <c r="O95" s="308"/>
      <c r="P95" s="308"/>
    </row>
    <row r="96" spans="3:14" ht="15.75" customHeight="1">
      <c r="C96" s="81"/>
      <c r="F96" s="68"/>
      <c r="G96" s="304"/>
      <c r="H96" s="304"/>
      <c r="I96" s="124"/>
      <c r="J96" s="305"/>
      <c r="K96" s="305"/>
      <c r="L96" s="305"/>
      <c r="M96" s="305"/>
      <c r="N96" s="305"/>
    </row>
    <row r="97" spans="2:14" ht="18" customHeight="1">
      <c r="B97" s="306" t="s">
        <v>56</v>
      </c>
      <c r="C97" s="307"/>
      <c r="D97" s="133">
        <v>102.57358</v>
      </c>
      <c r="E97" s="69"/>
      <c r="F97" s="125" t="s">
        <v>107</v>
      </c>
      <c r="G97" s="302"/>
      <c r="H97" s="302"/>
      <c r="I97" s="126"/>
      <c r="J97" s="305"/>
      <c r="K97" s="305"/>
      <c r="L97" s="305"/>
      <c r="M97" s="305"/>
      <c r="N97" s="305"/>
    </row>
    <row r="98" spans="6:13" ht="9.75" customHeight="1" hidden="1">
      <c r="F98" s="68"/>
      <c r="G98" s="302"/>
      <c r="H98" s="302"/>
      <c r="I98" s="68"/>
      <c r="J98" s="69"/>
      <c r="K98" s="69"/>
      <c r="L98" s="69"/>
      <c r="M98" s="69"/>
    </row>
    <row r="99" spans="2:13" ht="22.5" customHeight="1" hidden="1">
      <c r="B99" s="300" t="s">
        <v>59</v>
      </c>
      <c r="C99" s="301"/>
      <c r="D99" s="80">
        <v>0</v>
      </c>
      <c r="E99" s="51" t="s">
        <v>24</v>
      </c>
      <c r="F99" s="68"/>
      <c r="G99" s="302"/>
      <c r="H99" s="302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03"/>
      <c r="P101" s="303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43161.39999999998</v>
      </c>
    </row>
    <row r="108" spans="2:5" ht="15" hidden="1">
      <c r="B108" s="250" t="s">
        <v>174</v>
      </c>
      <c r="E108" s="29">
        <f>E88-E83-E76-E77</f>
        <v>8520.599999999999</v>
      </c>
    </row>
    <row r="109" ht="15" hidden="1"/>
    <row r="110" spans="2:21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275"/>
      <c r="T110" s="275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74">
        <f>F111/K111</f>
        <v>8.11475819689658</v>
      </c>
      <c r="N111" s="277"/>
      <c r="O111" s="277"/>
      <c r="P111" s="278"/>
      <c r="Q111" s="278"/>
      <c r="R111" s="276">
        <f>O111-8104.96</f>
        <v>-8104.96</v>
      </c>
      <c r="S111" s="276"/>
      <c r="T111" s="276"/>
      <c r="U111" s="95">
        <f>O111/8104.96</f>
        <v>0</v>
      </c>
    </row>
    <row r="112" spans="2:21" ht="17.25" hidden="1">
      <c r="B112" s="21" t="s">
        <v>189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74">
        <f>F112/K112</f>
        <v>1.3650195543550625</v>
      </c>
      <c r="N112" s="279"/>
      <c r="O112" s="279"/>
      <c r="P112" s="278"/>
      <c r="Q112" s="278"/>
      <c r="R112" s="276">
        <f>O112-42872.96</f>
        <v>-42872.96</v>
      </c>
      <c r="S112" s="276"/>
      <c r="T112" s="276"/>
      <c r="U112" s="95">
        <f>O112/42872.96</f>
        <v>0</v>
      </c>
    </row>
    <row r="113" spans="2:21" ht="15" hidden="1">
      <c r="B113" s="241" t="s">
        <v>191</v>
      </c>
      <c r="C113" s="239">
        <v>40000000</v>
      </c>
      <c r="D113" s="248">
        <f aca="true" t="shared" si="27" ref="D113:F114">D114</f>
        <v>1222868.6900000002</v>
      </c>
      <c r="E113" s="248">
        <f t="shared" si="27"/>
        <v>550655.6</v>
      </c>
      <c r="F113" s="248">
        <f t="shared" si="27"/>
        <v>545829.08</v>
      </c>
      <c r="G113" s="248">
        <f aca="true" t="shared" si="28" ref="G113:G124">F113-E113</f>
        <v>-4826.520000000019</v>
      </c>
      <c r="H113" s="248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156</v>
      </c>
      <c r="C114" s="239">
        <v>41000000</v>
      </c>
      <c r="D114" s="248">
        <f t="shared" si="27"/>
        <v>1222868.6900000002</v>
      </c>
      <c r="E114" s="248">
        <f t="shared" si="27"/>
        <v>550655.6</v>
      </c>
      <c r="F114" s="248">
        <f t="shared" si="27"/>
        <v>545829.08</v>
      </c>
      <c r="G114" s="248">
        <f t="shared" si="28"/>
        <v>-4826.520000000019</v>
      </c>
      <c r="H114" s="248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8"/>
        <v>-4826.520000000019</v>
      </c>
      <c r="H115" s="248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8"/>
        <v>-3734.029999999999</v>
      </c>
      <c r="H116" s="248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8"/>
        <v>-707.6699999999837</v>
      </c>
      <c r="H117" s="248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8"/>
        <v>-16.159999999999997</v>
      </c>
      <c r="H118" s="248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8"/>
        <v>0</v>
      </c>
      <c r="H119" s="248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8"/>
        <v>0</v>
      </c>
      <c r="H120" s="248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8"/>
        <v>-460.1399999999999</v>
      </c>
      <c r="H121" s="248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8"/>
        <v>165.7</v>
      </c>
      <c r="H122" s="248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8"/>
        <v>-74.22000000000003</v>
      </c>
      <c r="H123" s="248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1005490.5599999999</v>
      </c>
      <c r="F124" s="282">
        <f>F112+F113</f>
        <v>990258.644</v>
      </c>
      <c r="G124" s="283">
        <f t="shared" si="28"/>
        <v>-15231.915999999968</v>
      </c>
      <c r="H124" s="282">
        <f t="shared" si="30"/>
        <v>98.48512590709952</v>
      </c>
      <c r="I124" s="284">
        <f t="shared" si="29"/>
        <v>-1908165.3960000002</v>
      </c>
      <c r="J124" s="284">
        <f t="shared" si="31"/>
        <v>34.16541645852482</v>
      </c>
      <c r="Q124" s="244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5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8" t="s">
        <v>193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86"/>
      <c r="S1" s="87"/>
      <c r="T1" s="251"/>
      <c r="U1" s="254"/>
      <c r="V1" s="264"/>
      <c r="W1" s="264"/>
    </row>
    <row r="2" spans="2:23" s="1" customFormat="1" ht="15.75" customHeight="1">
      <c r="B2" s="329"/>
      <c r="C2" s="329"/>
      <c r="D2" s="329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51"/>
      <c r="U2" s="254"/>
      <c r="V2" s="264"/>
      <c r="W2" s="264"/>
    </row>
    <row r="3" spans="1:23" s="3" customFormat="1" ht="13.5" customHeight="1">
      <c r="A3" s="330"/>
      <c r="B3" s="332"/>
      <c r="C3" s="333" t="s">
        <v>0</v>
      </c>
      <c r="D3" s="334" t="s">
        <v>151</v>
      </c>
      <c r="E3" s="32"/>
      <c r="F3" s="335" t="s">
        <v>26</v>
      </c>
      <c r="G3" s="336"/>
      <c r="H3" s="336"/>
      <c r="I3" s="336"/>
      <c r="J3" s="337"/>
      <c r="K3" s="83"/>
      <c r="L3" s="83"/>
      <c r="M3" s="83"/>
      <c r="N3" s="338" t="s">
        <v>171</v>
      </c>
      <c r="O3" s="316" t="s">
        <v>172</v>
      </c>
      <c r="P3" s="316"/>
      <c r="Q3" s="316"/>
      <c r="R3" s="316"/>
      <c r="S3" s="316"/>
      <c r="T3" s="113" t="s">
        <v>182</v>
      </c>
      <c r="U3" s="113" t="s">
        <v>182</v>
      </c>
      <c r="V3" s="265" t="s">
        <v>182</v>
      </c>
      <c r="W3" s="265" t="s">
        <v>182</v>
      </c>
    </row>
    <row r="4" spans="1:22" ht="22.5" customHeight="1">
      <c r="A4" s="330"/>
      <c r="B4" s="332"/>
      <c r="C4" s="333"/>
      <c r="D4" s="334"/>
      <c r="E4" s="324" t="s">
        <v>154</v>
      </c>
      <c r="F4" s="310" t="s">
        <v>33</v>
      </c>
      <c r="G4" s="312" t="s">
        <v>170</v>
      </c>
      <c r="H4" s="314" t="s">
        <v>184</v>
      </c>
      <c r="I4" s="312" t="s">
        <v>138</v>
      </c>
      <c r="J4" s="314" t="s">
        <v>139</v>
      </c>
      <c r="K4" s="85" t="s">
        <v>141</v>
      </c>
      <c r="L4" s="204" t="s">
        <v>113</v>
      </c>
      <c r="M4" s="90" t="s">
        <v>63</v>
      </c>
      <c r="N4" s="314"/>
      <c r="O4" s="326" t="s">
        <v>194</v>
      </c>
      <c r="P4" s="312" t="s">
        <v>49</v>
      </c>
      <c r="Q4" s="317" t="s">
        <v>48</v>
      </c>
      <c r="R4" s="91" t="s">
        <v>64</v>
      </c>
      <c r="S4" s="92" t="s">
        <v>63</v>
      </c>
      <c r="T4" s="29" t="s">
        <v>181</v>
      </c>
      <c r="U4" s="255" t="s">
        <v>181</v>
      </c>
      <c r="V4" s="78" t="s">
        <v>183</v>
      </c>
    </row>
    <row r="5" spans="1:23" ht="67.5" customHeight="1">
      <c r="A5" s="331"/>
      <c r="B5" s="332"/>
      <c r="C5" s="333"/>
      <c r="D5" s="334"/>
      <c r="E5" s="325"/>
      <c r="F5" s="311"/>
      <c r="G5" s="313"/>
      <c r="H5" s="315"/>
      <c r="I5" s="313"/>
      <c r="J5" s="315"/>
      <c r="K5" s="318" t="s">
        <v>177</v>
      </c>
      <c r="L5" s="319"/>
      <c r="M5" s="320"/>
      <c r="N5" s="315"/>
      <c r="O5" s="327"/>
      <c r="P5" s="313"/>
      <c r="Q5" s="317"/>
      <c r="R5" s="318" t="s">
        <v>102</v>
      </c>
      <c r="S5" s="320"/>
      <c r="T5" s="29" t="s">
        <v>175</v>
      </c>
      <c r="U5" s="255" t="s">
        <v>176</v>
      </c>
      <c r="V5" s="78" t="s">
        <v>175</v>
      </c>
      <c r="W5" s="266" t="s">
        <v>176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52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52">
        <f>O9-T9</f>
        <v>1525.4199999999837</v>
      </c>
      <c r="V9" s="132">
        <v>160661.9</v>
      </c>
      <c r="W9" s="270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52">
        <f aca="true" t="shared" si="8" ref="U10:U42">O10-T10</f>
        <v>55588.729999999996</v>
      </c>
      <c r="V10" s="132"/>
      <c r="W10" s="269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52">
        <f t="shared" si="8"/>
        <v>3209.2199999999993</v>
      </c>
      <c r="V11" s="132"/>
      <c r="W11" s="269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52">
        <f t="shared" si="8"/>
        <v>727.27</v>
      </c>
      <c r="V12" s="132"/>
      <c r="W12" s="269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52">
        <f t="shared" si="8"/>
        <v>600.8399999999999</v>
      </c>
      <c r="V13" s="132"/>
      <c r="W13" s="269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52"/>
      <c r="U14" s="252">
        <f t="shared" si="8"/>
        <v>175.36</v>
      </c>
      <c r="V14" s="132"/>
      <c r="W14" s="269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52">
        <f t="shared" si="8"/>
        <v>-3.1300000000000523</v>
      </c>
      <c r="V15" s="132"/>
      <c r="W15" s="269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52">
        <f t="shared" si="8"/>
        <v>0</v>
      </c>
      <c r="V16" s="132"/>
      <c r="W16" s="269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52">
        <f t="shared" si="8"/>
        <v>0</v>
      </c>
      <c r="V17" s="132"/>
      <c r="W17" s="269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52"/>
      <c r="V18" s="132"/>
      <c r="W18" s="269"/>
    </row>
    <row r="19" spans="1:23" s="6" customFormat="1" ht="18">
      <c r="A19" s="8"/>
      <c r="B19" s="13" t="s">
        <v>180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52"/>
      <c r="V19" s="132"/>
      <c r="W19" s="269"/>
    </row>
    <row r="20" spans="1:23" s="6" customFormat="1" ht="61.5">
      <c r="A20" s="8"/>
      <c r="B20" s="257" t="s">
        <v>213</v>
      </c>
      <c r="C20" s="123">
        <v>14040000</v>
      </c>
      <c r="D20" s="258">
        <v>130000</v>
      </c>
      <c r="E20" s="258">
        <v>27800</v>
      </c>
      <c r="F20" s="201">
        <v>17734.06</v>
      </c>
      <c r="G20" s="258">
        <f t="shared" si="0"/>
        <v>-10065.939999999999</v>
      </c>
      <c r="H20" s="195">
        <f t="shared" si="3"/>
        <v>63.79158273381296</v>
      </c>
      <c r="I20" s="259">
        <f t="shared" si="4"/>
        <v>-112265.94</v>
      </c>
      <c r="J20" s="259">
        <f t="shared" si="5"/>
        <v>13.641584615384616</v>
      </c>
      <c r="K20" s="260">
        <v>18270.89</v>
      </c>
      <c r="L20" s="166">
        <f t="shared" si="1"/>
        <v>-536.8299999999981</v>
      </c>
      <c r="M20" s="261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9">
        <f t="shared" si="7"/>
        <v>41.10357142857144</v>
      </c>
      <c r="R20" s="107"/>
      <c r="S20" s="108"/>
      <c r="T20" s="262">
        <v>4250</v>
      </c>
      <c r="U20" s="263">
        <f t="shared" si="8"/>
        <v>-221.84999999999854</v>
      </c>
      <c r="V20" s="267">
        <v>17955.9</v>
      </c>
      <c r="W20" s="270">
        <f>F20-V20</f>
        <v>-221.84000000000015</v>
      </c>
    </row>
    <row r="21" spans="1:23" s="6" customFormat="1" ht="18">
      <c r="A21" s="8"/>
      <c r="B21" s="257" t="s">
        <v>178</v>
      </c>
      <c r="C21" s="123">
        <v>14021900</v>
      </c>
      <c r="D21" s="258">
        <v>0</v>
      </c>
      <c r="E21" s="258">
        <v>0</v>
      </c>
      <c r="F21" s="201">
        <v>2236.79</v>
      </c>
      <c r="G21" s="258">
        <f t="shared" si="0"/>
        <v>2236.79</v>
      </c>
      <c r="H21" s="195"/>
      <c r="I21" s="259">
        <f t="shared" si="4"/>
        <v>2236.79</v>
      </c>
      <c r="J21" s="259"/>
      <c r="K21" s="260">
        <v>0</v>
      </c>
      <c r="L21" s="166">
        <f t="shared" si="1"/>
        <v>2236.79</v>
      </c>
      <c r="M21" s="261"/>
      <c r="N21" s="195">
        <v>0</v>
      </c>
      <c r="O21" s="179">
        <f>F21</f>
        <v>2236.79</v>
      </c>
      <c r="P21" s="166"/>
      <c r="Q21" s="259"/>
      <c r="R21" s="107"/>
      <c r="S21" s="108"/>
      <c r="T21" s="262"/>
      <c r="U21" s="263"/>
      <c r="V21" s="267"/>
      <c r="W21" s="269"/>
    </row>
    <row r="22" spans="1:23" s="6" customFormat="1" ht="18">
      <c r="A22" s="8"/>
      <c r="B22" s="257" t="s">
        <v>179</v>
      </c>
      <c r="C22" s="123">
        <v>14031900</v>
      </c>
      <c r="D22" s="258">
        <v>0</v>
      </c>
      <c r="E22" s="258">
        <v>0</v>
      </c>
      <c r="F22" s="201">
        <v>7663.01</v>
      </c>
      <c r="G22" s="258">
        <f t="shared" si="0"/>
        <v>7663.01</v>
      </c>
      <c r="H22" s="195"/>
      <c r="I22" s="259">
        <f t="shared" si="4"/>
        <v>7663.01</v>
      </c>
      <c r="J22" s="259"/>
      <c r="K22" s="260">
        <v>0</v>
      </c>
      <c r="L22" s="166">
        <f t="shared" si="1"/>
        <v>7663.01</v>
      </c>
      <c r="M22" s="261"/>
      <c r="N22" s="195">
        <v>0</v>
      </c>
      <c r="O22" s="179">
        <f>F22</f>
        <v>7663.01</v>
      </c>
      <c r="P22" s="166"/>
      <c r="Q22" s="259"/>
      <c r="R22" s="107"/>
      <c r="S22" s="108"/>
      <c r="T22" s="262"/>
      <c r="U22" s="263"/>
      <c r="V22" s="267"/>
      <c r="W22" s="269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52"/>
      <c r="V23" s="132"/>
      <c r="W23" s="269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52"/>
      <c r="V24" s="132"/>
      <c r="W24" s="269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52">
        <f t="shared" si="8"/>
        <v>431.72999999999956</v>
      </c>
      <c r="V25" s="132"/>
      <c r="W25" s="269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52">
        <f t="shared" si="8"/>
        <v>6.840000000000003</v>
      </c>
      <c r="V26" s="132"/>
      <c r="W26" s="269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52">
        <f t="shared" si="8"/>
        <v>798.8900000000003</v>
      </c>
      <c r="V27" s="132"/>
      <c r="W27" s="269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52">
        <f t="shared" si="8"/>
        <v>-47.92</v>
      </c>
      <c r="V28" s="132"/>
      <c r="W28" s="269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52">
        <f t="shared" si="8"/>
        <v>1126.5</v>
      </c>
      <c r="V29" s="132">
        <v>42191.7</v>
      </c>
      <c r="W29" s="270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52">
        <f t="shared" si="8"/>
        <v>5576.230000000001</v>
      </c>
      <c r="V30" s="132"/>
      <c r="W30" s="269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52">
        <f t="shared" si="8"/>
        <v>10774.27</v>
      </c>
      <c r="V31" s="132"/>
      <c r="W31" s="269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52"/>
      <c r="V32" s="132"/>
      <c r="W32" s="269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52"/>
      <c r="V33" s="132"/>
      <c r="W33" s="269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52"/>
      <c r="V34" s="132"/>
      <c r="W34" s="269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52">
        <f t="shared" si="8"/>
        <v>1118.060000000005</v>
      </c>
      <c r="V35" s="132"/>
      <c r="W35" s="269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52">
        <f t="shared" si="8"/>
        <v>0</v>
      </c>
      <c r="V36" s="132"/>
      <c r="W36" s="269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52">
        <f t="shared" si="8"/>
        <v>1191.9699999999993</v>
      </c>
      <c r="V37" s="132"/>
      <c r="W37" s="269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52">
        <f t="shared" si="8"/>
        <v>6576.080000000002</v>
      </c>
      <c r="V38" s="132"/>
      <c r="W38" s="269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52">
        <f t="shared" si="8"/>
        <v>0</v>
      </c>
      <c r="V39" s="132"/>
      <c r="W39" s="269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52">
        <f t="shared" si="8"/>
        <v>0</v>
      </c>
      <c r="V40" s="132"/>
      <c r="W40" s="269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52"/>
      <c r="W41" s="269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52">
        <f t="shared" si="8"/>
        <v>0</v>
      </c>
      <c r="V42" s="132"/>
      <c r="W42" s="269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52"/>
      <c r="V43" s="132"/>
      <c r="W43" s="269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52"/>
      <c r="V44" s="132"/>
      <c r="W44" s="269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52"/>
      <c r="V45" s="132"/>
      <c r="W45" s="269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52"/>
      <c r="V46" s="132"/>
      <c r="W46" s="269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52"/>
      <c r="V47" s="132"/>
      <c r="W47" s="269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52"/>
      <c r="V48" s="132"/>
      <c r="W48" s="269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52"/>
      <c r="V49" s="132"/>
      <c r="W49" s="269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52"/>
      <c r="V50" s="132"/>
      <c r="W50" s="269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52"/>
      <c r="V51" s="132"/>
      <c r="W51" s="269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52"/>
      <c r="V52" s="132"/>
      <c r="W52" s="269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52"/>
      <c r="V53" s="132"/>
      <c r="W53" s="269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52"/>
      <c r="V54" s="132"/>
      <c r="W54" s="269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52"/>
      <c r="V55" s="132"/>
      <c r="W55" s="269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52"/>
      <c r="V56" s="132"/>
      <c r="W56" s="269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52"/>
      <c r="V57" s="132"/>
      <c r="W57" s="269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52"/>
      <c r="V58" s="132"/>
      <c r="W58" s="269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52"/>
      <c r="V59" s="132"/>
      <c r="W59" s="269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52"/>
      <c r="V60" s="132"/>
      <c r="W60" s="269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52"/>
      <c r="V61" s="132"/>
      <c r="W61" s="269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52"/>
      <c r="V62" s="132"/>
      <c r="W62" s="269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52"/>
      <c r="V63" s="132"/>
      <c r="W63" s="269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52"/>
      <c r="V64" s="132"/>
      <c r="W64" s="269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52">
        <f>O65-T65</f>
        <v>5.37</v>
      </c>
      <c r="V65" s="132"/>
      <c r="W65" s="269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52"/>
      <c r="V66" s="132"/>
      <c r="W66" s="269"/>
    </row>
    <row r="67" spans="1:23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52">
        <f>O67-T67</f>
        <v>14341.229999999981</v>
      </c>
      <c r="V67" s="132">
        <v>293087.8</v>
      </c>
      <c r="W67" s="270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53"/>
      <c r="U68" s="256"/>
      <c r="V68" s="268"/>
      <c r="W68" s="268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53"/>
      <c r="U69" s="256"/>
      <c r="V69" s="268"/>
      <c r="W69" s="268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53"/>
      <c r="U70" s="256"/>
      <c r="V70" s="268"/>
      <c r="W70" s="268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94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5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190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23"/>
      <c r="H92" s="323"/>
      <c r="I92" s="323"/>
      <c r="J92" s="32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8"/>
      <c r="P93" s="308"/>
    </row>
    <row r="94" spans="3:16" ht="15">
      <c r="C94" s="81">
        <v>42824</v>
      </c>
      <c r="D94" s="29">
        <v>11112.7</v>
      </c>
      <c r="F94" s="113" t="s">
        <v>58</v>
      </c>
      <c r="G94" s="302"/>
      <c r="H94" s="302"/>
      <c r="I94" s="118"/>
      <c r="J94" s="305"/>
      <c r="K94" s="305"/>
      <c r="L94" s="305"/>
      <c r="M94" s="305"/>
      <c r="N94" s="305"/>
      <c r="O94" s="308"/>
      <c r="P94" s="308"/>
    </row>
    <row r="95" spans="3:16" ht="15.75" customHeight="1">
      <c r="C95" s="81">
        <v>42823</v>
      </c>
      <c r="D95" s="29">
        <v>8830.3</v>
      </c>
      <c r="F95" s="68"/>
      <c r="G95" s="302"/>
      <c r="H95" s="302"/>
      <c r="I95" s="118"/>
      <c r="J95" s="309"/>
      <c r="K95" s="309"/>
      <c r="L95" s="309"/>
      <c r="M95" s="309"/>
      <c r="N95" s="309"/>
      <c r="O95" s="308"/>
      <c r="P95" s="308"/>
    </row>
    <row r="96" spans="3:14" ht="15.75" customHeight="1">
      <c r="C96" s="81"/>
      <c r="F96" s="68"/>
      <c r="G96" s="304"/>
      <c r="H96" s="304"/>
      <c r="I96" s="124"/>
      <c r="J96" s="305"/>
      <c r="K96" s="305"/>
      <c r="L96" s="305"/>
      <c r="M96" s="305"/>
      <c r="N96" s="305"/>
    </row>
    <row r="97" spans="2:14" ht="18" customHeight="1">
      <c r="B97" s="306" t="s">
        <v>56</v>
      </c>
      <c r="C97" s="307"/>
      <c r="D97" s="133">
        <v>1399.2856000000002</v>
      </c>
      <c r="E97" s="69"/>
      <c r="F97" s="125" t="s">
        <v>107</v>
      </c>
      <c r="G97" s="302"/>
      <c r="H97" s="302"/>
      <c r="I97" s="126"/>
      <c r="J97" s="305"/>
      <c r="K97" s="305"/>
      <c r="L97" s="305"/>
      <c r="M97" s="305"/>
      <c r="N97" s="305"/>
    </row>
    <row r="98" spans="6:13" ht="9.75" customHeight="1">
      <c r="F98" s="68"/>
      <c r="G98" s="302"/>
      <c r="H98" s="302"/>
      <c r="I98" s="68"/>
      <c r="J98" s="69"/>
      <c r="K98" s="69"/>
      <c r="L98" s="69"/>
      <c r="M98" s="69"/>
    </row>
    <row r="99" spans="2:13" ht="22.5" customHeight="1" hidden="1">
      <c r="B99" s="300" t="s">
        <v>59</v>
      </c>
      <c r="C99" s="301"/>
      <c r="D99" s="80">
        <v>0</v>
      </c>
      <c r="E99" s="51" t="s">
        <v>24</v>
      </c>
      <c r="F99" s="68"/>
      <c r="G99" s="302"/>
      <c r="H99" s="302"/>
      <c r="I99" s="68"/>
      <c r="J99" s="69"/>
      <c r="K99" s="69"/>
      <c r="L99" s="69"/>
      <c r="M99" s="69"/>
    </row>
    <row r="100" spans="2:16" ht="15" hidden="1">
      <c r="B100" s="289" t="s">
        <v>203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91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03"/>
      <c r="P101" s="303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19583.200000000026</v>
      </c>
    </row>
    <row r="108" spans="2:5" ht="15" hidden="1">
      <c r="B108" s="250" t="s">
        <v>174</v>
      </c>
      <c r="E108" s="29">
        <f>E88-E83-E76-E77</f>
        <v>4666.399999999998</v>
      </c>
    </row>
    <row r="109" ht="15" hidden="1"/>
    <row r="110" spans="2:23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3"/>
      <c r="N110" s="271"/>
      <c r="O110" s="271"/>
      <c r="P110" s="272"/>
      <c r="Q110" s="272"/>
      <c r="R110" s="275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74">
        <f>F111/K111</f>
        <v>7.864918565596555</v>
      </c>
      <c r="N111" s="277"/>
      <c r="O111" s="277"/>
      <c r="P111" s="278"/>
      <c r="Q111" s="278"/>
      <c r="R111" s="276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189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74">
        <f>F112/K112</f>
        <v>1.4171022100582904</v>
      </c>
      <c r="N112" s="279"/>
      <c r="O112" s="279"/>
      <c r="P112" s="278"/>
      <c r="Q112" s="278"/>
      <c r="R112" s="276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191</v>
      </c>
      <c r="C113" s="239">
        <v>40000000</v>
      </c>
      <c r="D113" s="248">
        <f aca="true" t="shared" si="26" ref="D113:F114">D114</f>
        <v>1222868.6900000002</v>
      </c>
      <c r="E113" s="248">
        <f t="shared" si="26"/>
        <v>550655.6</v>
      </c>
      <c r="F113" s="248">
        <f t="shared" si="26"/>
        <v>545829.08</v>
      </c>
      <c r="G113" s="248">
        <f aca="true" t="shared" si="27" ref="G113:G124">F113-E113</f>
        <v>-4826.520000000019</v>
      </c>
      <c r="H113" s="248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156</v>
      </c>
      <c r="C114" s="239">
        <v>41000000</v>
      </c>
      <c r="D114" s="248">
        <f t="shared" si="26"/>
        <v>1222868.6900000002</v>
      </c>
      <c r="E114" s="248">
        <f t="shared" si="26"/>
        <v>550655.6</v>
      </c>
      <c r="F114" s="248">
        <f t="shared" si="26"/>
        <v>545829.08</v>
      </c>
      <c r="G114" s="248">
        <f t="shared" si="27"/>
        <v>-4826.520000000019</v>
      </c>
      <c r="H114" s="248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7"/>
        <v>-4826.520000000019</v>
      </c>
      <c r="H115" s="248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7"/>
        <v>-3734.029999999999</v>
      </c>
      <c r="H116" s="248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7"/>
        <v>-707.6699999999837</v>
      </c>
      <c r="H117" s="248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7"/>
        <v>-16.159999999999997</v>
      </c>
      <c r="H118" s="248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7"/>
        <v>0</v>
      </c>
      <c r="H119" s="248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7"/>
        <v>0</v>
      </c>
      <c r="H120" s="248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7"/>
        <v>-460.1399999999999</v>
      </c>
      <c r="H121" s="248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7"/>
        <v>165.7</v>
      </c>
      <c r="H122" s="248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7"/>
        <v>-74.22000000000003</v>
      </c>
      <c r="H123" s="248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80" t="s">
        <v>166</v>
      </c>
      <c r="C124" s="281"/>
      <c r="D124" s="282">
        <f>D112+D113</f>
        <v>2898424.04</v>
      </c>
      <c r="E124" s="282">
        <f>E112+E113</f>
        <v>887467.26</v>
      </c>
      <c r="F124" s="282">
        <f>F112+F113</f>
        <v>877166.4099999999</v>
      </c>
      <c r="G124" s="283">
        <f t="shared" si="27"/>
        <v>-10300.850000000093</v>
      </c>
      <c r="H124" s="282">
        <f t="shared" si="29"/>
        <v>98.83929802661113</v>
      </c>
      <c r="I124" s="284">
        <f t="shared" si="28"/>
        <v>-2021257.6300000001</v>
      </c>
      <c r="J124" s="284">
        <f t="shared" si="30"/>
        <v>30.263563850374354</v>
      </c>
      <c r="Q124" s="244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8" t="s">
        <v>152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86"/>
      <c r="S1" s="87"/>
    </row>
    <row r="2" spans="2:19" s="1" customFormat="1" ht="15.75" customHeight="1">
      <c r="B2" s="329"/>
      <c r="C2" s="329"/>
      <c r="D2" s="329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0"/>
      <c r="B3" s="332"/>
      <c r="C3" s="333" t="s">
        <v>0</v>
      </c>
      <c r="D3" s="334" t="s">
        <v>151</v>
      </c>
      <c r="E3" s="32"/>
      <c r="F3" s="335" t="s">
        <v>26</v>
      </c>
      <c r="G3" s="336"/>
      <c r="H3" s="336"/>
      <c r="I3" s="336"/>
      <c r="J3" s="337"/>
      <c r="K3" s="83"/>
      <c r="L3" s="83"/>
      <c r="M3" s="83"/>
      <c r="N3" s="338" t="s">
        <v>145</v>
      </c>
      <c r="O3" s="316" t="s">
        <v>149</v>
      </c>
      <c r="P3" s="316"/>
      <c r="Q3" s="316"/>
      <c r="R3" s="316"/>
      <c r="S3" s="316"/>
    </row>
    <row r="4" spans="1:19" ht="22.5" customHeight="1">
      <c r="A4" s="330"/>
      <c r="B4" s="332"/>
      <c r="C4" s="333"/>
      <c r="D4" s="334"/>
      <c r="E4" s="324" t="s">
        <v>150</v>
      </c>
      <c r="F4" s="310" t="s">
        <v>33</v>
      </c>
      <c r="G4" s="312" t="s">
        <v>146</v>
      </c>
      <c r="H4" s="314" t="s">
        <v>147</v>
      </c>
      <c r="I4" s="312" t="s">
        <v>138</v>
      </c>
      <c r="J4" s="314" t="s">
        <v>139</v>
      </c>
      <c r="K4" s="85" t="s">
        <v>141</v>
      </c>
      <c r="L4" s="204" t="s">
        <v>113</v>
      </c>
      <c r="M4" s="90" t="s">
        <v>63</v>
      </c>
      <c r="N4" s="314"/>
      <c r="O4" s="326" t="s">
        <v>153</v>
      </c>
      <c r="P4" s="312" t="s">
        <v>49</v>
      </c>
      <c r="Q4" s="317" t="s">
        <v>48</v>
      </c>
      <c r="R4" s="91" t="s">
        <v>64</v>
      </c>
      <c r="S4" s="92" t="s">
        <v>63</v>
      </c>
    </row>
    <row r="5" spans="1:19" ht="67.5" customHeight="1">
      <c r="A5" s="331"/>
      <c r="B5" s="332"/>
      <c r="C5" s="333"/>
      <c r="D5" s="334"/>
      <c r="E5" s="325"/>
      <c r="F5" s="311"/>
      <c r="G5" s="313"/>
      <c r="H5" s="315"/>
      <c r="I5" s="313"/>
      <c r="J5" s="315"/>
      <c r="K5" s="318" t="s">
        <v>148</v>
      </c>
      <c r="L5" s="319"/>
      <c r="M5" s="320"/>
      <c r="N5" s="315"/>
      <c r="O5" s="327"/>
      <c r="P5" s="313"/>
      <c r="Q5" s="317"/>
      <c r="R5" s="318" t="s">
        <v>102</v>
      </c>
      <c r="S5" s="32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94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23"/>
      <c r="H89" s="323"/>
      <c r="I89" s="323"/>
      <c r="J89" s="32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8"/>
      <c r="P90" s="308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02"/>
      <c r="H91" s="302"/>
      <c r="I91" s="118"/>
      <c r="J91" s="305"/>
      <c r="K91" s="305"/>
      <c r="L91" s="305"/>
      <c r="M91" s="305"/>
      <c r="N91" s="305"/>
      <c r="O91" s="308"/>
      <c r="P91" s="308"/>
    </row>
    <row r="92" spans="3:16" ht="15.75" customHeight="1">
      <c r="C92" s="81">
        <v>42790</v>
      </c>
      <c r="D92" s="29">
        <v>4206.9</v>
      </c>
      <c r="F92" s="68"/>
      <c r="G92" s="302"/>
      <c r="H92" s="302"/>
      <c r="I92" s="118"/>
      <c r="J92" s="309"/>
      <c r="K92" s="309"/>
      <c r="L92" s="309"/>
      <c r="M92" s="309"/>
      <c r="N92" s="309"/>
      <c r="O92" s="308"/>
      <c r="P92" s="308"/>
    </row>
    <row r="93" spans="3:14" ht="15.75" customHeight="1">
      <c r="C93" s="81"/>
      <c r="F93" s="68"/>
      <c r="G93" s="304"/>
      <c r="H93" s="304"/>
      <c r="I93" s="124"/>
      <c r="J93" s="305"/>
      <c r="K93" s="305"/>
      <c r="L93" s="305"/>
      <c r="M93" s="305"/>
      <c r="N93" s="305"/>
    </row>
    <row r="94" spans="2:14" ht="18.75" customHeight="1">
      <c r="B94" s="306" t="s">
        <v>56</v>
      </c>
      <c r="C94" s="307"/>
      <c r="D94" s="133">
        <v>7713.34596</v>
      </c>
      <c r="E94" s="69"/>
      <c r="F94" s="125" t="s">
        <v>107</v>
      </c>
      <c r="G94" s="302"/>
      <c r="H94" s="302"/>
      <c r="I94" s="126"/>
      <c r="J94" s="305"/>
      <c r="K94" s="305"/>
      <c r="L94" s="305"/>
      <c r="M94" s="305"/>
      <c r="N94" s="305"/>
    </row>
    <row r="95" spans="6:13" ht="9.75" customHeight="1">
      <c r="F95" s="68"/>
      <c r="G95" s="302"/>
      <c r="H95" s="302"/>
      <c r="I95" s="68"/>
      <c r="J95" s="69"/>
      <c r="K95" s="69"/>
      <c r="L95" s="69"/>
      <c r="M95" s="69"/>
    </row>
    <row r="96" spans="2:13" ht="22.5" customHeight="1" hidden="1">
      <c r="B96" s="300" t="s">
        <v>59</v>
      </c>
      <c r="C96" s="301"/>
      <c r="D96" s="80">
        <v>0</v>
      </c>
      <c r="E96" s="51" t="s">
        <v>24</v>
      </c>
      <c r="F96" s="68"/>
      <c r="G96" s="302"/>
      <c r="H96" s="30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03"/>
      <c r="P98" s="303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8" t="s">
        <v>144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86"/>
      <c r="S1" s="87"/>
    </row>
    <row r="2" spans="2:19" s="1" customFormat="1" ht="15.75" customHeight="1">
      <c r="B2" s="329"/>
      <c r="C2" s="329"/>
      <c r="D2" s="329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0"/>
      <c r="B3" s="332"/>
      <c r="C3" s="333" t="s">
        <v>0</v>
      </c>
      <c r="D3" s="334" t="s">
        <v>134</v>
      </c>
      <c r="E3" s="32"/>
      <c r="F3" s="335" t="s">
        <v>26</v>
      </c>
      <c r="G3" s="336"/>
      <c r="H3" s="336"/>
      <c r="I3" s="336"/>
      <c r="J3" s="337"/>
      <c r="K3" s="83"/>
      <c r="L3" s="83"/>
      <c r="M3" s="83"/>
      <c r="N3" s="338" t="s">
        <v>123</v>
      </c>
      <c r="O3" s="316" t="s">
        <v>118</v>
      </c>
      <c r="P3" s="316"/>
      <c r="Q3" s="316"/>
      <c r="R3" s="316"/>
      <c r="S3" s="316"/>
    </row>
    <row r="4" spans="1:19" ht="22.5" customHeight="1">
      <c r="A4" s="330"/>
      <c r="B4" s="332"/>
      <c r="C4" s="333"/>
      <c r="D4" s="334"/>
      <c r="E4" s="324" t="s">
        <v>135</v>
      </c>
      <c r="F4" s="310" t="s">
        <v>33</v>
      </c>
      <c r="G4" s="312" t="s">
        <v>136</v>
      </c>
      <c r="H4" s="314" t="s">
        <v>137</v>
      </c>
      <c r="I4" s="312" t="s">
        <v>138</v>
      </c>
      <c r="J4" s="314" t="s">
        <v>139</v>
      </c>
      <c r="K4" s="85" t="s">
        <v>141</v>
      </c>
      <c r="L4" s="204" t="s">
        <v>113</v>
      </c>
      <c r="M4" s="90" t="s">
        <v>63</v>
      </c>
      <c r="N4" s="314"/>
      <c r="O4" s="326" t="s">
        <v>124</v>
      </c>
      <c r="P4" s="312" t="s">
        <v>49</v>
      </c>
      <c r="Q4" s="317" t="s">
        <v>48</v>
      </c>
      <c r="R4" s="91" t="s">
        <v>64</v>
      </c>
      <c r="S4" s="92" t="s">
        <v>63</v>
      </c>
    </row>
    <row r="5" spans="1:19" ht="67.5" customHeight="1">
      <c r="A5" s="331"/>
      <c r="B5" s="332"/>
      <c r="C5" s="333"/>
      <c r="D5" s="334"/>
      <c r="E5" s="325"/>
      <c r="F5" s="311"/>
      <c r="G5" s="313"/>
      <c r="H5" s="315"/>
      <c r="I5" s="313"/>
      <c r="J5" s="315"/>
      <c r="K5" s="318" t="s">
        <v>142</v>
      </c>
      <c r="L5" s="319"/>
      <c r="M5" s="320"/>
      <c r="N5" s="315"/>
      <c r="O5" s="327"/>
      <c r="P5" s="313"/>
      <c r="Q5" s="317"/>
      <c r="R5" s="318" t="s">
        <v>102</v>
      </c>
      <c r="S5" s="32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23"/>
      <c r="H89" s="323"/>
      <c r="I89" s="323"/>
      <c r="J89" s="32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8"/>
      <c r="P90" s="308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02"/>
      <c r="H91" s="302"/>
      <c r="I91" s="118"/>
      <c r="J91" s="305"/>
      <c r="K91" s="305"/>
      <c r="L91" s="305"/>
      <c r="M91" s="305"/>
      <c r="N91" s="305"/>
      <c r="O91" s="308"/>
      <c r="P91" s="308"/>
    </row>
    <row r="92" spans="3:16" ht="15.75" customHeight="1">
      <c r="C92" s="81">
        <v>42762</v>
      </c>
      <c r="D92" s="29">
        <v>8862.4</v>
      </c>
      <c r="F92" s="68"/>
      <c r="G92" s="302"/>
      <c r="H92" s="302"/>
      <c r="I92" s="118"/>
      <c r="J92" s="309"/>
      <c r="K92" s="309"/>
      <c r="L92" s="309"/>
      <c r="M92" s="309"/>
      <c r="N92" s="309"/>
      <c r="O92" s="308"/>
      <c r="P92" s="308"/>
    </row>
    <row r="93" spans="3:14" ht="15.75" customHeight="1">
      <c r="C93" s="81"/>
      <c r="F93" s="68"/>
      <c r="G93" s="304"/>
      <c r="H93" s="304"/>
      <c r="I93" s="124"/>
      <c r="J93" s="305"/>
      <c r="K93" s="305"/>
      <c r="L93" s="305"/>
      <c r="M93" s="305"/>
      <c r="N93" s="305"/>
    </row>
    <row r="94" spans="2:14" ht="18.75" customHeight="1">
      <c r="B94" s="306" t="s">
        <v>56</v>
      </c>
      <c r="C94" s="307"/>
      <c r="D94" s="133">
        <f>9505303.41/1000</f>
        <v>9505.30341</v>
      </c>
      <c r="E94" s="69"/>
      <c r="F94" s="125" t="s">
        <v>107</v>
      </c>
      <c r="G94" s="302"/>
      <c r="H94" s="302"/>
      <c r="I94" s="126"/>
      <c r="J94" s="305"/>
      <c r="K94" s="305"/>
      <c r="L94" s="305"/>
      <c r="M94" s="305"/>
      <c r="N94" s="305"/>
    </row>
    <row r="95" spans="6:13" ht="9.75" customHeight="1">
      <c r="F95" s="68"/>
      <c r="G95" s="302"/>
      <c r="H95" s="302"/>
      <c r="I95" s="68"/>
      <c r="J95" s="69"/>
      <c r="K95" s="69"/>
      <c r="L95" s="69"/>
      <c r="M95" s="69"/>
    </row>
    <row r="96" spans="2:13" ht="22.5" customHeight="1" hidden="1">
      <c r="B96" s="300" t="s">
        <v>59</v>
      </c>
      <c r="C96" s="301"/>
      <c r="D96" s="80">
        <v>0</v>
      </c>
      <c r="E96" s="51" t="s">
        <v>24</v>
      </c>
      <c r="F96" s="68"/>
      <c r="G96" s="302"/>
      <c r="H96" s="30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3"/>
      <c r="P98" s="303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6" sqref="J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8" t="s">
        <v>132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86"/>
      <c r="S1" s="87"/>
    </row>
    <row r="2" spans="2:19" s="1" customFormat="1" ht="15.75" customHeight="1">
      <c r="B2" s="329"/>
      <c r="C2" s="329"/>
      <c r="D2" s="329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0"/>
      <c r="B3" s="332"/>
      <c r="C3" s="333" t="s">
        <v>0</v>
      </c>
      <c r="D3" s="334" t="s">
        <v>126</v>
      </c>
      <c r="E3" s="32"/>
      <c r="F3" s="335" t="s">
        <v>26</v>
      </c>
      <c r="G3" s="336"/>
      <c r="H3" s="336"/>
      <c r="I3" s="336"/>
      <c r="J3" s="337"/>
      <c r="K3" s="83"/>
      <c r="L3" s="83"/>
      <c r="M3" s="83"/>
      <c r="N3" s="338" t="s">
        <v>129</v>
      </c>
      <c r="O3" s="316" t="s">
        <v>125</v>
      </c>
      <c r="P3" s="316"/>
      <c r="Q3" s="316"/>
      <c r="R3" s="316"/>
      <c r="S3" s="316"/>
    </row>
    <row r="4" spans="1:19" ht="22.5" customHeight="1">
      <c r="A4" s="330"/>
      <c r="B4" s="332"/>
      <c r="C4" s="333"/>
      <c r="D4" s="334"/>
      <c r="E4" s="324" t="s">
        <v>127</v>
      </c>
      <c r="F4" s="310" t="s">
        <v>33</v>
      </c>
      <c r="G4" s="312" t="s">
        <v>128</v>
      </c>
      <c r="H4" s="314" t="s">
        <v>122</v>
      </c>
      <c r="I4" s="312" t="s">
        <v>103</v>
      </c>
      <c r="J4" s="314" t="s">
        <v>104</v>
      </c>
      <c r="K4" s="85" t="s">
        <v>114</v>
      </c>
      <c r="L4" s="204" t="s">
        <v>113</v>
      </c>
      <c r="M4" s="90" t="s">
        <v>63</v>
      </c>
      <c r="N4" s="314"/>
      <c r="O4" s="326" t="s">
        <v>133</v>
      </c>
      <c r="P4" s="312" t="s">
        <v>49</v>
      </c>
      <c r="Q4" s="317" t="s">
        <v>48</v>
      </c>
      <c r="R4" s="91" t="s">
        <v>64</v>
      </c>
      <c r="S4" s="92" t="s">
        <v>63</v>
      </c>
    </row>
    <row r="5" spans="1:19" ht="67.5" customHeight="1">
      <c r="A5" s="331"/>
      <c r="B5" s="332"/>
      <c r="C5" s="333"/>
      <c r="D5" s="334"/>
      <c r="E5" s="325"/>
      <c r="F5" s="311"/>
      <c r="G5" s="313"/>
      <c r="H5" s="315"/>
      <c r="I5" s="313"/>
      <c r="J5" s="315"/>
      <c r="K5" s="318" t="s">
        <v>130</v>
      </c>
      <c r="L5" s="319"/>
      <c r="M5" s="320"/>
      <c r="N5" s="315"/>
      <c r="O5" s="327"/>
      <c r="P5" s="313"/>
      <c r="Q5" s="317"/>
      <c r="R5" s="318" t="s">
        <v>102</v>
      </c>
      <c r="S5" s="32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23"/>
      <c r="H89" s="323"/>
      <c r="I89" s="323"/>
      <c r="J89" s="323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8"/>
      <c r="P90" s="308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02"/>
      <c r="H91" s="302"/>
      <c r="I91" s="118"/>
      <c r="J91" s="305"/>
      <c r="K91" s="305"/>
      <c r="L91" s="305"/>
      <c r="M91" s="305"/>
      <c r="N91" s="305"/>
      <c r="O91" s="308"/>
      <c r="P91" s="308"/>
    </row>
    <row r="92" spans="3:16" ht="15.75" customHeight="1">
      <c r="C92" s="81">
        <v>42732</v>
      </c>
      <c r="D92" s="29">
        <v>19085.6</v>
      </c>
      <c r="F92" s="68"/>
      <c r="G92" s="302"/>
      <c r="H92" s="302"/>
      <c r="I92" s="118"/>
      <c r="J92" s="309"/>
      <c r="K92" s="309"/>
      <c r="L92" s="309"/>
      <c r="M92" s="309"/>
      <c r="N92" s="309"/>
      <c r="O92" s="308"/>
      <c r="P92" s="308"/>
    </row>
    <row r="93" spans="3:14" ht="15.75" customHeight="1">
      <c r="C93" s="81"/>
      <c r="F93" s="68"/>
      <c r="G93" s="304"/>
      <c r="H93" s="304"/>
      <c r="I93" s="124"/>
      <c r="J93" s="305"/>
      <c r="K93" s="305"/>
      <c r="L93" s="305"/>
      <c r="M93" s="305"/>
      <c r="N93" s="305"/>
    </row>
    <row r="94" spans="2:14" ht="18.75" customHeight="1">
      <c r="B94" s="306" t="s">
        <v>56</v>
      </c>
      <c r="C94" s="307"/>
      <c r="D94" s="133">
        <f>'[1]залишки  (2)'!$G$6/1000</f>
        <v>2.7349</v>
      </c>
      <c r="E94" s="69"/>
      <c r="F94" s="125" t="s">
        <v>107</v>
      </c>
      <c r="G94" s="302"/>
      <c r="H94" s="302"/>
      <c r="I94" s="126"/>
      <c r="J94" s="305"/>
      <c r="K94" s="305"/>
      <c r="L94" s="305"/>
      <c r="M94" s="305"/>
      <c r="N94" s="305"/>
    </row>
    <row r="95" spans="6:13" ht="9" customHeight="1">
      <c r="F95" s="68"/>
      <c r="G95" s="302"/>
      <c r="H95" s="302"/>
      <c r="I95" s="68"/>
      <c r="J95" s="69"/>
      <c r="K95" s="69"/>
      <c r="L95" s="69"/>
      <c r="M95" s="69"/>
    </row>
    <row r="96" spans="2:13" ht="22.5" customHeight="1" hidden="1">
      <c r="B96" s="300" t="s">
        <v>59</v>
      </c>
      <c r="C96" s="301"/>
      <c r="D96" s="80">
        <v>0</v>
      </c>
      <c r="E96" s="51" t="s">
        <v>24</v>
      </c>
      <c r="F96" s="68"/>
      <c r="G96" s="302"/>
      <c r="H96" s="302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3"/>
      <c r="P98" s="303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6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23" sqref="C1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8" t="s">
        <v>152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86"/>
      <c r="S1" s="87"/>
    </row>
    <row r="2" spans="2:19" s="1" customFormat="1" ht="15.75" customHeight="1">
      <c r="B2" s="329"/>
      <c r="C2" s="329"/>
      <c r="D2" s="329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0"/>
      <c r="B3" s="332"/>
      <c r="C3" s="333" t="s">
        <v>0</v>
      </c>
      <c r="D3" s="334" t="s">
        <v>151</v>
      </c>
      <c r="E3" s="32"/>
      <c r="F3" s="335" t="s">
        <v>26</v>
      </c>
      <c r="G3" s="336"/>
      <c r="H3" s="336"/>
      <c r="I3" s="336"/>
      <c r="J3" s="337"/>
      <c r="K3" s="83"/>
      <c r="L3" s="83"/>
      <c r="M3" s="83"/>
      <c r="N3" s="338" t="s">
        <v>145</v>
      </c>
      <c r="O3" s="316" t="s">
        <v>149</v>
      </c>
      <c r="P3" s="316"/>
      <c r="Q3" s="316"/>
      <c r="R3" s="316"/>
      <c r="S3" s="316"/>
    </row>
    <row r="4" spans="1:19" ht="22.5" customHeight="1">
      <c r="A4" s="330"/>
      <c r="B4" s="332"/>
      <c r="C4" s="333"/>
      <c r="D4" s="334"/>
      <c r="E4" s="324" t="s">
        <v>150</v>
      </c>
      <c r="F4" s="310" t="s">
        <v>33</v>
      </c>
      <c r="G4" s="312" t="s">
        <v>146</v>
      </c>
      <c r="H4" s="314" t="s">
        <v>147</v>
      </c>
      <c r="I4" s="312" t="s">
        <v>138</v>
      </c>
      <c r="J4" s="314" t="s">
        <v>139</v>
      </c>
      <c r="K4" s="85" t="s">
        <v>141</v>
      </c>
      <c r="L4" s="204" t="s">
        <v>113</v>
      </c>
      <c r="M4" s="90" t="s">
        <v>63</v>
      </c>
      <c r="N4" s="314"/>
      <c r="O4" s="326" t="s">
        <v>153</v>
      </c>
      <c r="P4" s="312" t="s">
        <v>49</v>
      </c>
      <c r="Q4" s="317" t="s">
        <v>48</v>
      </c>
      <c r="R4" s="91" t="s">
        <v>64</v>
      </c>
      <c r="S4" s="92" t="s">
        <v>63</v>
      </c>
    </row>
    <row r="5" spans="1:19" ht="67.5" customHeight="1">
      <c r="A5" s="331"/>
      <c r="B5" s="332"/>
      <c r="C5" s="333"/>
      <c r="D5" s="334"/>
      <c r="E5" s="325"/>
      <c r="F5" s="311"/>
      <c r="G5" s="313"/>
      <c r="H5" s="315"/>
      <c r="I5" s="313"/>
      <c r="J5" s="315"/>
      <c r="K5" s="318" t="s">
        <v>148</v>
      </c>
      <c r="L5" s="319"/>
      <c r="M5" s="320"/>
      <c r="N5" s="315"/>
      <c r="O5" s="327"/>
      <c r="P5" s="313"/>
      <c r="Q5" s="317"/>
      <c r="R5" s="318" t="s">
        <v>102</v>
      </c>
      <c r="S5" s="32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-53951.66</v>
      </c>
      <c r="J74" s="167">
        <f>F74/D74*100</f>
        <v>0.08951851851851853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-77897.41</v>
      </c>
      <c r="J75" s="167">
        <f>F75/D75*100</f>
        <v>1.3956835443037974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-236065.03</v>
      </c>
      <c r="J77" s="187">
        <f>F77/D77*100</f>
        <v>0.48605074411923915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26.66</v>
      </c>
      <c r="P84" s="167">
        <f t="shared" si="21"/>
        <v>26.66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318064.23</v>
      </c>
      <c r="E86" s="191">
        <f>E71+E83+E77+E82+E85</f>
        <v>16454.9</v>
      </c>
      <c r="F86" s="191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-301842.16</v>
      </c>
      <c r="J86" s="194">
        <f t="shared" si="24"/>
        <v>5.100249720001523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3301.4399999999996</v>
      </c>
      <c r="P86" s="194">
        <f t="shared" si="21"/>
        <v>-74.5600000000004</v>
      </c>
      <c r="Q86" s="194">
        <f>O86/N86*100</f>
        <v>97.79146919431278</v>
      </c>
      <c r="R86" s="27">
        <f>O86-8104.96</f>
        <v>-4803.52</v>
      </c>
      <c r="S86" s="95">
        <f>O86/8104.96</f>
        <v>0.40733575489576745</v>
      </c>
      <c r="T86" s="147">
        <f t="shared" si="22"/>
        <v>301609.32999999996</v>
      </c>
    </row>
    <row r="87" spans="2:20" ht="17.25">
      <c r="B87" s="21" t="s">
        <v>32</v>
      </c>
      <c r="C87" s="66"/>
      <c r="D87" s="191">
        <f>D64+D86</f>
        <v>1675555.33</v>
      </c>
      <c r="E87" s="191">
        <f>E64+E86</f>
        <v>220477</v>
      </c>
      <c r="F87" s="191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-1455806.8900000001</v>
      </c>
      <c r="J87" s="194">
        <f t="shared" si="24"/>
        <v>13.114961712425222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108741.62</v>
      </c>
      <c r="P87" s="194">
        <f t="shared" si="21"/>
        <v>-1299.9800000000105</v>
      </c>
      <c r="Q87" s="194">
        <f>O87/N87*100</f>
        <v>98.81864676631382</v>
      </c>
      <c r="R87" s="27">
        <f>O87-42872.96</f>
        <v>65868.66</v>
      </c>
      <c r="S87" s="95">
        <f>O87/42872.96</f>
        <v>2.5363683776440906</v>
      </c>
      <c r="T87" s="147">
        <f t="shared" si="22"/>
        <v>1455078.33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323"/>
      <c r="H90" s="323"/>
      <c r="I90" s="323"/>
      <c r="J90" s="323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308"/>
      <c r="P91" s="308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113" t="s">
        <v>58</v>
      </c>
      <c r="G92" s="302"/>
      <c r="H92" s="302"/>
      <c r="I92" s="118"/>
      <c r="J92" s="305"/>
      <c r="K92" s="305"/>
      <c r="L92" s="305"/>
      <c r="M92" s="305"/>
      <c r="N92" s="305"/>
      <c r="O92" s="308"/>
      <c r="P92" s="308"/>
    </row>
    <row r="93" spans="3:16" ht="15.75" customHeight="1" hidden="1">
      <c r="C93" s="81">
        <v>42790</v>
      </c>
      <c r="D93" s="29">
        <v>4206.9</v>
      </c>
      <c r="F93" s="68"/>
      <c r="G93" s="302"/>
      <c r="H93" s="302"/>
      <c r="I93" s="118"/>
      <c r="J93" s="309"/>
      <c r="K93" s="309"/>
      <c r="L93" s="309"/>
      <c r="M93" s="309"/>
      <c r="N93" s="309"/>
      <c r="O93" s="308"/>
      <c r="P93" s="308"/>
    </row>
    <row r="94" spans="3:14" ht="15.75" customHeight="1" hidden="1">
      <c r="C94" s="81"/>
      <c r="F94" s="68"/>
      <c r="G94" s="304"/>
      <c r="H94" s="304"/>
      <c r="I94" s="124"/>
      <c r="J94" s="305"/>
      <c r="K94" s="305"/>
      <c r="L94" s="305"/>
      <c r="M94" s="305"/>
      <c r="N94" s="305"/>
    </row>
    <row r="95" spans="2:14" ht="18.75" customHeight="1" hidden="1">
      <c r="B95" s="306" t="s">
        <v>56</v>
      </c>
      <c r="C95" s="307"/>
      <c r="D95" s="133">
        <v>7713.34596</v>
      </c>
      <c r="E95" s="69"/>
      <c r="F95" s="125" t="s">
        <v>107</v>
      </c>
      <c r="G95" s="302"/>
      <c r="H95" s="302"/>
      <c r="I95" s="126"/>
      <c r="J95" s="305"/>
      <c r="K95" s="305"/>
      <c r="L95" s="305"/>
      <c r="M95" s="305"/>
      <c r="N95" s="305"/>
    </row>
    <row r="96" spans="6:13" ht="9.75" customHeight="1" hidden="1">
      <c r="F96" s="68"/>
      <c r="G96" s="302"/>
      <c r="H96" s="302"/>
      <c r="I96" s="68"/>
      <c r="J96" s="69"/>
      <c r="K96" s="69"/>
      <c r="L96" s="69"/>
      <c r="M96" s="69"/>
    </row>
    <row r="97" spans="2:13" ht="22.5" customHeight="1" hidden="1">
      <c r="B97" s="300" t="s">
        <v>59</v>
      </c>
      <c r="C97" s="301"/>
      <c r="D97" s="80">
        <v>0</v>
      </c>
      <c r="E97" s="51" t="s">
        <v>24</v>
      </c>
      <c r="F97" s="68"/>
      <c r="G97" s="302"/>
      <c r="H97" s="302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03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303"/>
      <c r="P99" s="303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29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29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29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9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4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4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4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">
      <c r="B107" s="240" t="s">
        <v>158</v>
      </c>
      <c r="C107" s="239">
        <v>41030600</v>
      </c>
      <c r="D107" s="248">
        <v>311813.4</v>
      </c>
      <c r="E107" s="248">
        <v>50035.4</v>
      </c>
      <c r="F107" s="24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">
      <c r="B108" s="240" t="s">
        <v>159</v>
      </c>
      <c r="C108" s="239">
        <v>41030800</v>
      </c>
      <c r="D108" s="248">
        <v>408648.2</v>
      </c>
      <c r="E108" s="248">
        <v>264243.41127</v>
      </c>
      <c r="F108" s="24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">
      <c r="B109" s="240" t="s">
        <v>160</v>
      </c>
      <c r="C109" s="239">
        <v>41031000</v>
      </c>
      <c r="D109" s="248">
        <v>227.7</v>
      </c>
      <c r="E109" s="248">
        <v>38</v>
      </c>
      <c r="F109" s="24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5.5">
      <c r="B110" s="240" t="s">
        <v>161</v>
      </c>
      <c r="C110" s="239">
        <v>41033900</v>
      </c>
      <c r="D110" s="248">
        <v>243334.5</v>
      </c>
      <c r="E110" s="248">
        <v>37454.8</v>
      </c>
      <c r="F110" s="24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5.5">
      <c r="B111" s="240" t="s">
        <v>162</v>
      </c>
      <c r="C111" s="239">
        <v>41034200</v>
      </c>
      <c r="D111" s="248">
        <v>238249.5</v>
      </c>
      <c r="E111" s="248">
        <v>39685.1</v>
      </c>
      <c r="F111" s="24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4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">
      <c r="B113" s="240" t="s">
        <v>164</v>
      </c>
      <c r="C113" s="239">
        <v>41035800</v>
      </c>
      <c r="D113" s="248">
        <v>4356.3</v>
      </c>
      <c r="E113" s="248">
        <v>583.7</v>
      </c>
      <c r="F113" s="24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25.5" customHeight="1">
      <c r="B114" s="247" t="s">
        <v>166</v>
      </c>
      <c r="C114" s="243"/>
      <c r="D114" s="245">
        <f>D104+D87</f>
        <v>2898424.018</v>
      </c>
      <c r="E114" s="245">
        <f>E104+E87</f>
        <v>615169.2812699999</v>
      </c>
      <c r="F114" s="245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-2288310.41154</v>
      </c>
      <c r="J114" s="246">
        <f t="shared" si="31"/>
        <v>21.049839591137427</v>
      </c>
      <c r="Q114" s="244"/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0:J90"/>
    <mergeCell ref="O91:P91"/>
    <mergeCell ref="G92:H92"/>
    <mergeCell ref="J92:N92"/>
    <mergeCell ref="O92:P92"/>
    <mergeCell ref="G93:H93"/>
    <mergeCell ref="J93:N93"/>
    <mergeCell ref="O93:P93"/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2017-06-30T10:57:20Z</cp:lastPrinted>
  <dcterms:created xsi:type="dcterms:W3CDTF">2003-07-28T11:27:56Z</dcterms:created>
  <dcterms:modified xsi:type="dcterms:W3CDTF">2017-06-30T11:04:49Z</dcterms:modified>
  <cp:category/>
  <cp:version/>
  <cp:contentType/>
  <cp:contentStatus/>
</cp:coreProperties>
</file>